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Finserver\информация\2025 год\Формирование бюджетов на 2026-2028\Второе чтение\Район\Решение\"/>
    </mc:Choice>
  </mc:AlternateContent>
  <xr:revisionPtr revIDLastSave="0" documentId="13_ncr:1_{11325C0C-37FA-42E1-9390-98751C8C163F}" xr6:coauthVersionLast="47" xr6:coauthVersionMax="47" xr10:uidLastSave="{00000000-0000-0000-0000-000000000000}"/>
  <bookViews>
    <workbookView xWindow="-120" yWindow="-120" windowWidth="19440" windowHeight="15000" xr2:uid="{00000000-000D-0000-FFFF-FFFF00000000}"/>
  </bookViews>
  <sheets>
    <sheet name="2 чтение" sheetId="100" r:id="rId1"/>
  </sheets>
  <definedNames>
    <definedName name="_xlnm.Print_Area" localSheetId="0">'2 чтение'!$A$1:$H$157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00" l="1"/>
  <c r="H33" i="100"/>
  <c r="G33" i="100"/>
  <c r="F33" i="100"/>
  <c r="F141" i="100"/>
  <c r="H132" i="100"/>
  <c r="G132" i="100"/>
  <c r="F132" i="100"/>
  <c r="F131" i="100"/>
  <c r="F70" i="100"/>
  <c r="H57" i="100"/>
  <c r="G57" i="100"/>
  <c r="F57" i="100"/>
  <c r="F48" i="100"/>
  <c r="F38" i="100"/>
  <c r="F34" i="100"/>
  <c r="H24" i="100" l="1"/>
  <c r="G24" i="100"/>
  <c r="F68" i="100"/>
  <c r="F24" i="100"/>
  <c r="F10" i="100"/>
  <c r="F67" i="100"/>
  <c r="H114" i="100" l="1"/>
  <c r="G114" i="100"/>
  <c r="F59" i="100"/>
  <c r="F144" i="100" l="1"/>
  <c r="F143" i="100"/>
  <c r="F139" i="100"/>
  <c r="F138" i="100"/>
  <c r="F137" i="100"/>
  <c r="F136" i="100"/>
  <c r="H129" i="100"/>
  <c r="F127" i="100"/>
  <c r="F126" i="100"/>
  <c r="F125" i="100"/>
  <c r="H124" i="100"/>
  <c r="G124" i="100"/>
  <c r="F124" i="100"/>
  <c r="H143" i="100" l="1"/>
  <c r="G143" i="100"/>
  <c r="H138" i="100"/>
  <c r="G138" i="100"/>
  <c r="H136" i="100"/>
  <c r="G136" i="100"/>
  <c r="H126" i="100"/>
  <c r="G126" i="100"/>
  <c r="F133" i="100" l="1"/>
  <c r="F60" i="100" l="1"/>
  <c r="F47" i="100"/>
  <c r="F46" i="100"/>
  <c r="F45" i="100"/>
  <c r="F44" i="100"/>
  <c r="F36" i="100"/>
  <c r="F25" i="100"/>
  <c r="F23" i="100"/>
  <c r="F22" i="100"/>
  <c r="F21" i="100"/>
  <c r="F19" i="100"/>
  <c r="F17" i="100"/>
  <c r="F16" i="100"/>
  <c r="F9" i="100"/>
  <c r="F7" i="100"/>
  <c r="F6" i="100"/>
  <c r="H72" i="100"/>
  <c r="G72" i="100"/>
  <c r="F72" i="100"/>
  <c r="H10" i="100" l="1"/>
  <c r="G10" i="100"/>
  <c r="G59" i="100" l="1"/>
  <c r="H59" i="100"/>
  <c r="F148" i="100" l="1"/>
  <c r="G84" i="100" l="1"/>
  <c r="H86" i="100"/>
  <c r="G86" i="100"/>
  <c r="F86" i="100"/>
  <c r="H84" i="100"/>
  <c r="F84" i="100"/>
  <c r="H81" i="100"/>
  <c r="G81" i="100"/>
  <c r="F81" i="100"/>
  <c r="H74" i="100"/>
  <c r="G74" i="100"/>
  <c r="F74" i="100"/>
  <c r="H75" i="100"/>
  <c r="G75" i="100"/>
  <c r="F75" i="100"/>
  <c r="F129" i="100" l="1"/>
  <c r="H40" i="100" l="1"/>
  <c r="F103" i="100" l="1"/>
  <c r="G103" i="100"/>
  <c r="H103" i="100"/>
  <c r="G68" i="100"/>
  <c r="H68" i="100"/>
  <c r="H60" i="100"/>
  <c r="G60" i="100"/>
  <c r="F54" i="100"/>
  <c r="F53" i="100"/>
  <c r="G52" i="100"/>
  <c r="H52" i="100"/>
  <c r="F52" i="100"/>
  <c r="G51" i="100"/>
  <c r="H51" i="100"/>
  <c r="F51" i="100"/>
  <c r="F49" i="100"/>
  <c r="H49" i="100"/>
  <c r="G49" i="100"/>
  <c r="G47" i="100"/>
  <c r="H47" i="100"/>
  <c r="G44" i="100"/>
  <c r="H44" i="100"/>
  <c r="G40" i="100"/>
  <c r="F40" i="100"/>
  <c r="G36" i="100" l="1"/>
  <c r="H36" i="100"/>
  <c r="G25" i="100" l="1"/>
  <c r="H25" i="100"/>
  <c r="G23" i="100"/>
  <c r="H23" i="100"/>
  <c r="G22" i="100"/>
  <c r="H22" i="100"/>
  <c r="G21" i="100"/>
  <c r="H21" i="100"/>
  <c r="H16" i="100"/>
  <c r="G16" i="100"/>
  <c r="G9" i="100"/>
  <c r="H9" i="100"/>
  <c r="G11" i="100"/>
  <c r="H11" i="100"/>
  <c r="F11" i="100"/>
  <c r="G7" i="100"/>
  <c r="H7" i="100"/>
  <c r="G6" i="100"/>
  <c r="H6" i="100"/>
  <c r="G55" i="100" l="1"/>
  <c r="H55" i="100"/>
  <c r="F55" i="100"/>
  <c r="H53" i="100"/>
  <c r="G53" i="100"/>
  <c r="G50" i="100"/>
  <c r="H50" i="100"/>
  <c r="H148" i="100" l="1"/>
  <c r="G148" i="100"/>
  <c r="H156" i="100" l="1"/>
  <c r="G156" i="100"/>
  <c r="F156" i="100"/>
  <c r="H147" i="100"/>
  <c r="G147" i="100"/>
  <c r="F145" i="100"/>
  <c r="F121" i="100"/>
  <c r="F117" i="100"/>
  <c r="F79" i="100"/>
  <c r="H79" i="100"/>
  <c r="G79" i="100"/>
  <c r="F71" i="100"/>
  <c r="H71" i="100"/>
  <c r="G71" i="100"/>
  <c r="G83" i="100" l="1"/>
  <c r="F83" i="100"/>
  <c r="G5" i="100"/>
  <c r="H83" i="100"/>
  <c r="F5" i="100"/>
  <c r="H5" i="100"/>
  <c r="F157" i="100" l="1"/>
  <c r="G157" i="100"/>
  <c r="H157" i="100"/>
</calcChain>
</file>

<file path=xl/sharedStrings.xml><?xml version="1.0" encoding="utf-8"?>
<sst xmlns="http://schemas.openxmlformats.org/spreadsheetml/2006/main" count="761" uniqueCount="291">
  <si>
    <t>Единица измерения: руб.</t>
  </si>
  <si>
    <t>Наименование расходов</t>
  </si>
  <si>
    <t>Код главы</t>
  </si>
  <si>
    <t>Муниципальное казённое учреждение отдел образования администрации Приволжского  муниципального района</t>
  </si>
  <si>
    <t>073</t>
  </si>
  <si>
    <t>Расходы на обеспечение деятельности (оказание услуг) муниципальных учреждений дошкольного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</si>
  <si>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0701</t>
  </si>
  <si>
    <t>03 1 01 01590</t>
  </si>
  <si>
    <t>100</t>
  </si>
  <si>
    <t>Расходы на обеспечение деятельности (оказание услуг) муниципальных учреждений дошкольного образования (Закупка товаров, работ и услуг для обеспечения государственных (муниципальных) нужд)</t>
  </si>
  <si>
    <t>200</t>
  </si>
  <si>
    <t>Расходы на обеспечение деятельности (оказание услуг) муниципальных учреждений дошкольного образования (Иные бюджетные ассигнования)</t>
  </si>
  <si>
    <t>800</t>
  </si>
  <si>
    <t>03 1 01 80170</t>
  </si>
  <si>
    <t>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</si>
  <si>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03 1 04 80100</t>
  </si>
  <si>
    <t>Организация мероприятий по пожарной и антитеррористической безопасности (Закупка товаров, работ и услуг для обеспечения государственных (муниципальных) нужд)</t>
  </si>
  <si>
    <t>03 1 05 07590</t>
  </si>
  <si>
    <t>Проведение ремонтных работ образовательных учреждений (Закупка товаров, работ и услуг для обеспечения государственных (муниципальных) нужд)</t>
  </si>
  <si>
    <t>03 1 06 08590</t>
  </si>
  <si>
    <t xml:space="preserve">Охрана труда (Закупка товаров, работ и услуг для обеспечения государственных (муниципальных) нужд) </t>
  </si>
  <si>
    <t>03 7 01 41100</t>
  </si>
  <si>
    <t>0702</t>
  </si>
  <si>
    <t>Расходы на обеспечение деятельности (оказание услуг) муниципальных учреждений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</si>
  <si>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03 1 02 02590</t>
  </si>
  <si>
    <t>Расходы на обеспечение деятельности (оказание услуг) муниципальных учреждений общего образования (Закупка товаров, работ и услуг для обеспечения государственных (муниципальных) нужд)</t>
  </si>
  <si>
    <t>Расходы на обеспечение деятельности (оказание услуг) муниципальных учреждений общего образования (Иные межбюджетные ассигнования)</t>
  </si>
  <si>
    <t>03 1 02 80150</t>
  </si>
  <si>
    <t>Возмещение затрат на финансовое обеспечение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 (Предоставление субсидий бюджетным, автономным учреждениям и иным некоммерческим организациям)</t>
  </si>
  <si>
    <t>03 1 02 80160</t>
  </si>
  <si>
    <t>600</t>
  </si>
  <si>
    <t>03 1 02 L3041</t>
  </si>
  <si>
    <t>Поддержка молодых специалистов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</si>
  <si>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03 3 01 06590</t>
  </si>
  <si>
    <t xml:space="preserve">Проведение государственной итоговой аттестации выпускников (Закупка товаров, работ и услуг для обеспечения государственных (муниципальных) нужд) </t>
  </si>
  <si>
    <t>03 6 01 01790</t>
  </si>
  <si>
    <t>0703</t>
  </si>
  <si>
    <t>03 1 03 03590</t>
  </si>
  <si>
    <t>03 4 01 00100</t>
  </si>
  <si>
    <t>03 4 02 S0190</t>
  </si>
  <si>
    <t>03 4 02 80200</t>
  </si>
  <si>
    <t>Расходы на обеспечение деятельности (оказание услуг) муниципальных учреждений общего образования (Предоставление субсидий бюджетным, автономным учреждениям и иным некоммерческим организациям)</t>
  </si>
  <si>
    <t>0709</t>
  </si>
  <si>
    <t>Организация мероприятий по поддержке одаренных детей  (Закупка товаров, работ и услуг для обеспечения государственных (муниципальных) нужд)</t>
  </si>
  <si>
    <t>03 2 01 05590</t>
  </si>
  <si>
    <t>Организация мероприятий по поддержке одаренных детей  (Социальное обеспечение и иные выплаты населению)</t>
  </si>
  <si>
    <t>300</t>
  </si>
  <si>
    <t>Поддержка молодых специалистов (Закупка товаров, работ и услуг для обеспечения государственных (муниципальных) нужд)</t>
  </si>
  <si>
    <t>Поддержка молодых специалистов (Социальное обеспечение и иные выплаты населению)</t>
  </si>
  <si>
    <t>Расходы на обеспечение деятельности (оказание услуг) муниципальных учреждений по другим вопросам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</si>
  <si>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42 9 00 04590</t>
  </si>
  <si>
    <t>Расходы на обеспечение деятельности (оказание услуг) муниципальных учреждений по другим вопросам (Закупка товаров, работ и услуг для обеспечения государственных (муниципальных) нужд)</t>
  </si>
  <si>
    <t>Расходы на обеспечение деятельности (оказание услуг) муниципальных учреждений по другим вопросам (Иные бюджетные ассигнования)</t>
  </si>
  <si>
    <t>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</si>
  <si>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1004</t>
  </si>
  <si>
    <t>03 1 04 80110</t>
  </si>
  <si>
    <t>1101</t>
  </si>
  <si>
    <t>03 8 01 01890</t>
  </si>
  <si>
    <t>Финансовое управление администрации Приволжского  муниципального района</t>
  </si>
  <si>
    <t>092</t>
  </si>
  <si>
    <t>Обеспечение функций органов местного самоуправления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</si>
  <si>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0106</t>
  </si>
  <si>
    <t>40 9 00 01500</t>
  </si>
  <si>
    <t>Обеспечение функций органов местного самоуправления (Закупка товаров, работ и услуг для обеспечения государственных (муниципальных) нужд)</t>
  </si>
  <si>
    <t>Обеспечение функций органов местного самоуправления (Иные бюджетные ассигнования)</t>
  </si>
  <si>
    <t>Обеспечение функций органов местного самоуправления. Передача (исполнение) осуществления части полномочий в соответствии с заключенными соглашениями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</si>
  <si>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40 9 00 01510</t>
  </si>
  <si>
    <t>Обеспечение средствами информатизации (Закупка товаров, работ и услуг для обеспечения государственных (муниципальных) нужд)</t>
  </si>
  <si>
    <t>11 3 01 00080</t>
  </si>
  <si>
    <t>Диспансеризация муниципальных служащих  (Закупка товаров, работ и услуг для обеспечения государственных (муниципальных) нужд)</t>
  </si>
  <si>
    <t>11 4 01 00090</t>
  </si>
  <si>
    <t>Расходы на создание условий для профессионального развития и подготовки кадров муниципальной службы (Закупка товаров, работ и услуг для обеспечения государственных (муниципальных) нужд)</t>
  </si>
  <si>
    <t>0705</t>
  </si>
  <si>
    <t>11 1 01 02500</t>
  </si>
  <si>
    <t xml:space="preserve">Совет Приволжского муниципального района </t>
  </si>
  <si>
    <t>122</t>
  </si>
  <si>
    <t>Обеспечение функционирования представительного органа муниципального образования. Передача (исполнение) осуществления части полномочий в соответствии с заключенными соглашениями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</si>
  <si>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0103</t>
  </si>
  <si>
    <t>40 9 00 01520</t>
  </si>
  <si>
    <t>Обеспечение функционирования представительного органа муниципального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</si>
  <si>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40 9 00 01900</t>
  </si>
  <si>
    <t>Возмещение расходов депутатам, осуществляющим полномочия на непостоянной основе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</si>
  <si>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40 9 00 01910</t>
  </si>
  <si>
    <t>Администрация Приволжского  муниципального района</t>
  </si>
  <si>
    <t>303</t>
  </si>
  <si>
    <t>Обеспечение функционирования высшего должностного лица органа местного самоуправления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</si>
  <si>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0102</t>
  </si>
  <si>
    <t>40 9 00 01700</t>
  </si>
  <si>
    <t>0104</t>
  </si>
  <si>
    <t>13 2 01 80360</t>
  </si>
  <si>
    <t>0105</t>
  </si>
  <si>
    <t>40 9 00 51200</t>
  </si>
  <si>
    <t>Резервный фонд Администрации Приволжского муниципального района (Иные бюджетные ассигнования)</t>
  </si>
  <si>
    <t>0111</t>
  </si>
  <si>
    <t>01 2 01 20810</t>
  </si>
  <si>
    <t xml:space="preserve">Организация учета муниципального имущества и проведение его технической инвентаризации (Закупка товаров, работ и услуг для обеспечения государственных (муниципальных) нужд) </t>
  </si>
  <si>
    <t>0113</t>
  </si>
  <si>
    <t>04 1 01 20910</t>
  </si>
  <si>
    <t>Расходы на содержание казны (Закупка товаров, работ и услуг для обеспечения государственных (муниципальных) нужд)</t>
  </si>
  <si>
    <t>04 1 01 20920</t>
  </si>
  <si>
    <t>Проведение независимой оценки размера арендной платы, рыночной стоимости муниципального имущества, а также земельных участков, находящихся в государственной собственности до разграничения (Закупка товаров, работ и услуг для обеспечения государственных (муниципальных) нужд)</t>
  </si>
  <si>
    <t>04 1 01 20930</t>
  </si>
  <si>
    <t>Выполнение кадастровых работ по межеванию, формированию земельных участков (Закупка товаров, работ и услуг для обеспечения государственных (муниципальных) нужд)</t>
  </si>
  <si>
    <t>04 2 01 20950</t>
  </si>
  <si>
    <t xml:space="preserve">Официальное опубликование правовых актов (Закупка товаров, работ и услуг для обеспечения государственных (муниципальных) нужд)
</t>
  </si>
  <si>
    <t>11 2 01 00040</t>
  </si>
  <si>
    <t>Приобретение элементов экипировки, устройств, обеспечивающих необходимый уровень защиты граждан и охраны общественного порядка на объектах и во время мероприятий с повышенными требованиями к безопасности  (Закупка товаров, работ и услуг для обеспечения государственных (муниципальных) нужд)</t>
  </si>
  <si>
    <t>13 1 01 03000</t>
  </si>
  <si>
    <t>Выплата единовременного денежного вознаграждения гражданам за добровольную сдачу незаконно хранящегося оружия, боеприпасов, взрывчатых веществ,взрывчатых устройств (Социальное обеспечение и иные выплаты населению)</t>
  </si>
  <si>
    <t>13 1 01 01000</t>
  </si>
  <si>
    <t>Проведение мероприятий  по профилактике правонарушений (Закупка товаров, работ и услуг для обеспечения государственных (муниципальных) нужд)</t>
  </si>
  <si>
    <t>13 1 02 02000</t>
  </si>
  <si>
    <t>14 1 01 10010</t>
  </si>
  <si>
    <t>16 1 01 06690</t>
  </si>
  <si>
    <t>Улучшение условий и охраны труда в учреждениях и предприятиях Приволжского муниципального района (Закупка товаров, работ и услуг для обеспечения государственных (муниципальных) нужд)</t>
  </si>
  <si>
    <t>18 1 02 41200</t>
  </si>
  <si>
    <t>40 9 00 70100</t>
  </si>
  <si>
    <t>40 9 00 80350</t>
  </si>
  <si>
    <t>41 9 00 90160</t>
  </si>
  <si>
    <t>Подготовка населения и организаций к действиям в чрезвычайной ситуации в мирное и военное время (Закупка товаров, работ и услуг для обеспечения государственных (муниципальных) нужд)</t>
  </si>
  <si>
    <t>0309</t>
  </si>
  <si>
    <t>05 1 01 90010</t>
  </si>
  <si>
    <t>0405</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</si>
  <si>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</si>
  <si>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Проведение мероприятий на территории Приволжского муниципального района  (Закупка товаров, работ и услуг для обеспечения государственных (муниципальных) нужд)</t>
  </si>
  <si>
    <t>10 1 01 10010</t>
  </si>
  <si>
    <t>Государственная экспертиза по определению достоверности сметной стоимости  работ по ремонту автомобильных дорог (Закупка товаров, работ и услуг для обеспечения государственных (муниципальных) нужд)</t>
  </si>
  <si>
    <t>0409</t>
  </si>
  <si>
    <t>Строительный контроль (Закупка товаров, работ и услуг для обеспечения государственных (муниципальных) нужд)</t>
  </si>
  <si>
    <t>Финансовое обеспечение на организацию дорожной деятельности в отношении автомобильных дорог местного значения в границах населенных пунктов поселений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(Закупка товаров, работ и услуг для обеспечения государственных (муниципальных) нужд)</t>
  </si>
  <si>
    <t>500</t>
  </si>
  <si>
    <t>Финансовое обеспечение на организацию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(Закупка товаров, работ и услуг для обеспечения государственных (муниципальных) нужд)</t>
  </si>
  <si>
    <t>0412</t>
  </si>
  <si>
    <t>40 9 00 01400</t>
  </si>
  <si>
    <t>Финансовое обеспечение на организацию обеспечения проживающих в поселениях и нуждающихся в жилых помещениях малоимущих граждан жилыми помещениями, организацию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(Закупка товаров, работ и услуг для обеспечения государственных (муниципальных) нужд)</t>
  </si>
  <si>
    <t>0501</t>
  </si>
  <si>
    <t xml:space="preserve">08 1 04 00410 </t>
  </si>
  <si>
    <t>0502</t>
  </si>
  <si>
    <t>08 1 01 28040</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</si>
  <si>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нецентрализованных источников водоснабжения (содержание колодцев) (Закупка товаров, работ и услуг для обеспечения государственных (муниципальных) нужд)</t>
  </si>
  <si>
    <t>08 1 03 00440</t>
  </si>
  <si>
    <t>08 1 03 00470</t>
  </si>
  <si>
    <t>0503</t>
  </si>
  <si>
    <t>Выполнение наказов избирателей (Закупка товаров, работ и услуг для обеспечения государственных (муниципальных) нужд)</t>
  </si>
  <si>
    <t>53 9 00 01990</t>
  </si>
  <si>
    <t>Расходы на обеспечение деятельности (оказание услуг) муниципальных учреждений дополнительного образования (Предоставление субсидий бюджетным, автономным учреждениям и иным некоммерческим организациям)</t>
  </si>
  <si>
    <t>02 1 01 03590</t>
  </si>
  <si>
    <t>Доплата к пенсиям муниципальным служащим (Социальное обеспечение и иные выплаты населению)</t>
  </si>
  <si>
    <t>1001</t>
  </si>
  <si>
    <t>11 1 02 70200</t>
  </si>
  <si>
    <t>1003</t>
  </si>
  <si>
    <t>12 1 01 L4970</t>
  </si>
  <si>
    <t>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 Софинансирование районного бюджета (Социальное обеспечение и иные выплаты населению)</t>
  </si>
  <si>
    <t>12 2 01 70020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</si>
  <si>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недвижимого имущества государственной (муниципальной) собственности)</t>
  </si>
  <si>
    <t>400</t>
  </si>
  <si>
    <t>Расходы на проведение мероприятий в области массового спорта  (Закупка товаров, работ и услуг для обеспечения государственных (муниципальных) нужд)</t>
  </si>
  <si>
    <t>1102</t>
  </si>
  <si>
    <t>17 1 01 00120</t>
  </si>
  <si>
    <t>ИТОГО</t>
  </si>
  <si>
    <t>Материальное вознаграждение гражданам, награжденным Почетной грамотой (Социальное обеспечение и иные выплаты населению)</t>
  </si>
  <si>
    <t>Обеспечение прочих обязательств администрации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</si>
  <si>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</si>
  <si>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</si>
  <si>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</si>
  <si>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</si>
  <si>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</si>
  <si>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</si>
  <si>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</si>
  <si>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Актуализация схемы теплоснабжения Приволжского муниципального района (Закупка товаров, работ и услуг для обеспечения государственных (муниципальных) нужд)</t>
  </si>
  <si>
    <t xml:space="preserve">Организация озеленения территорий общего пользования (Закупка товаров, работ и услуг для обеспечения государственных (муниципальных) нужд) </t>
  </si>
  <si>
    <t>Проведение мероприятий на территории Приволжского муниципального района (Закупка товаров, работ и услуг для обеспечения государственных (муниципальных) нужд)</t>
  </si>
  <si>
    <t>Организация регулярных перевозок по муниципальным маршрутам (Закупка товаров, работ и услуг для обеспечения государственных (муниципальных) нужд)</t>
  </si>
  <si>
    <t>36 1 01 03010</t>
  </si>
  <si>
    <t>38 1 01 20980</t>
  </si>
  <si>
    <t>37 1 01 24000</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</si>
  <si>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централизованных источников водоснабжения (Закупка товаров, работ и услуг для обеспечения государственных (муниципальных) нужд)</t>
  </si>
  <si>
    <t>Расходы за счет средств от оказания платных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</si>
  <si>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03 1 01 01110</t>
  </si>
  <si>
    <t>Расходы за счет средств от оказания платных услуг (Закупка товаров, работ и услуг для обеспечения государственных (муниципальных) нужд)</t>
  </si>
  <si>
    <t>Расходы за счет средств от оказания платных услуг (Иные бюджетные ассигнования)</t>
  </si>
  <si>
    <t>03 1 02 01111</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</si>
  <si>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</si>
  <si>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Обеспечение прочих обязательств администрации (Иные бюджетные ассигнования)</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</si>
  <si>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</si>
  <si>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</si>
  <si>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Средства на оплату членских взносов Совета муниципальных образований (Иные бюджетные ассигнования)</t>
  </si>
  <si>
    <t>Расходы на проведение мероприятий для детей и молодежи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</si>
  <si>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реализацию спортивной подготовки в учреждениях дополнительного образования (Предоставление субсидий бюджетным, автономным учреждениям и иным некоммерческим организациям)</t>
  </si>
  <si>
    <t>03 1 03 03580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</si>
  <si>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</si>
  <si>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Обеспечение функционирования модели персонифицированного финансирования дополнительного образования детей (Иные бюджетные ассигнования)</t>
  </si>
  <si>
    <t>38 2 01 20960</t>
  </si>
  <si>
    <t>38 3 01 21980</t>
  </si>
  <si>
    <t>Работы по подготовке документации по установлению границ населенных пунктов (Закупка товаров, работ и услуг для обеспечения государственных (муниципальных) нужд)</t>
  </si>
  <si>
    <t>Разработка проектов планировки и (или) проектов межевания территорий (Закупка товаров, работ и услуг для обеспечения государственных (муниципальных) нужд)</t>
  </si>
  <si>
    <t>Работы по подготовке документации по установлению границ территориальных зон (Закупка товаров, работ и услуг для обеспечения государственных (муниципальных) нужд)</t>
  </si>
  <si>
    <t>0408</t>
  </si>
  <si>
    <t>Финансовое обеспечение на организацию дорожной деятельности в отношении автомобильных дорог местного значения в границах населенных пунктов поселений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(Межбюджетные трансферты)</t>
  </si>
  <si>
    <t>Финансовое обеспечение на организацию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(Межбюджетные трансферты)</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</si>
  <si>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нецентрализованных источников водоснабжения (содержание колодцев) (Межбюджетные трансферты)</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</si>
  <si>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централизованных источников водоснабжения (Межбюджетные трансферты)</t>
  </si>
  <si>
    <t>Финансовое обеспечение на  организацию ритуальных услуг и содержание мест захоронения (Межбюджетные трансферты)</t>
  </si>
  <si>
    <t>Финансовое обеспечение на  организацию ритуальных услуг и содержание мест захоронения (Закупка товаров, работ и услуг для обеспечения государственных (муниципальных) нужд)</t>
  </si>
  <si>
    <t>03 1 02 89700</t>
  </si>
  <si>
    <t xml:space="preserve">Исполнение обязательств по исполнительным листам (Иные бюджетные ассигнования) </t>
  </si>
  <si>
    <t>40 9 00 27770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</si>
  <si>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</si>
  <si>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дошкольных группах в муниципальных общеобразовательных организациях" (Закупка товаров, работ и услуг для государственных (муниципальных) нужд)</t>
  </si>
  <si>
    <t>03 1 01 81010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</si>
  <si>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</si>
  <si>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Код раздела, подраздела</t>
  </si>
  <si>
    <t>Код целевой статьи</t>
  </si>
  <si>
    <t>Код вида расходов</t>
  </si>
  <si>
    <t>04 1 01 27030</t>
  </si>
  <si>
    <t>04 1 01 21940</t>
  </si>
  <si>
    <t>12 3 01 R0820</t>
  </si>
  <si>
    <t>Проведение ремонтных работ (реконструкция имущества казны) (Закупка товаров, работ и услуг для обеспечения государственных (муниципальных) нужд)</t>
  </si>
  <si>
    <t>Взносы на капитальный ремонт за муниципальный жилищный фонд (в фонд регионального оператора) (Закупка товаров, работ и услуг для обеспечения государственных (муниципальных) нужд)</t>
  </si>
  <si>
    <t>03 1 02 81090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</si>
  <si>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</si>
  <si>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2026 год</t>
  </si>
  <si>
    <t>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t>
  </si>
  <si>
    <t>Обеспечение функционирования модели персонифицированного финансирования дополнительного образования детей(Предоставление субсидий бюджетным, автономным учреждениям и иным некоммерческим организациям)</t>
  </si>
  <si>
    <t>1103</t>
  </si>
  <si>
    <t>Организация отдыха детей в каникулярное время в части организации двухразового питания в лагерях дневного пребывания (Предоставление субсидий бюджетным, автономным учреждениям и иным некоммерческим организациям)</t>
  </si>
  <si>
    <t>Ремонт автомобильных дорог (Закупка товаров, работ и услуг для обеспечения государственных (муниципальных) нужд)</t>
  </si>
  <si>
    <t>12 3 01 Д0820</t>
  </si>
  <si>
    <t>Организация мероприятий по поддержке одаренных детей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</si>
  <si>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03 1 01 81290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</si>
  <si>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</si>
  <si>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Мероприятия по обработке земель сельскохозяйственного назначения (Закупка товаров, работ и услуг для обеспечения государственных (муниципальных) нужд)</t>
  </si>
  <si>
    <t>10 1 01 10020</t>
  </si>
  <si>
    <t>03 1 03 S1950</t>
  </si>
  <si>
    <t xml:space="preserve">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 </t>
  </si>
  <si>
    <t>1006</t>
  </si>
  <si>
    <t>02 1 01 81400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</si>
  <si>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</si>
  <si>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03 1 01 81400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</si>
  <si>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</si>
  <si>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03 1 02 81400</t>
  </si>
  <si>
    <t>03 1 03 81400</t>
  </si>
  <si>
    <t>Выполнение мероприятий "Комплексного плана противодействия идеологии терроризма в Российской Федерации на 2024-2028 годы" на территории Приволжского муниципального района (Закупка товаров, работ и услуг для обеспечения государственных (муниципальных) нужд)</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</si>
  <si>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</si>
  <si>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40 9 00 55490</t>
  </si>
  <si>
    <t>2027 год</t>
  </si>
  <si>
    <t>Проведение мероприятий  по профилактике правонарушений(Социальное обеспечение и иные выплаты населению)</t>
  </si>
  <si>
    <t>Расходы на мероприятия по обучению детей-инвалидов (Закупка товаров, работ и услуг для обеспечения государственных (муниципальных) нужд)</t>
  </si>
  <si>
    <t>03 5 01 01490</t>
  </si>
  <si>
    <t>Расходы на транспортировку умерших в морг (Закупка товаров, работ и услуг для обеспечения государственных (муниципальных) нужд)</t>
  </si>
  <si>
    <t>обл</t>
  </si>
  <si>
    <t>Ведомственная структура расходов бюджета Приволжского муниципального района на 2026 год и на плановый период 2027 и 2028 годов</t>
  </si>
  <si>
    <t>2028 год</t>
  </si>
  <si>
    <t>03 1 Ю6 53031</t>
  </si>
  <si>
    <t>03 1 Ю4 57502</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</si>
  <si>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5 - 11 классах муниципальных общеобразовательных организаций (Закупка товаров, работ и услуг для обеспечения государственных (муниципальных) нужд)</t>
  </si>
  <si>
    <t>03 1 02 83390</t>
  </si>
  <si>
    <t>03 1 Ю6 51792</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</si>
  <si>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</si>
  <si>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</si>
  <si>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Ю6 50502</t>
  </si>
  <si>
    <t>03 1 02 81290</t>
  </si>
  <si>
    <t>15 1 01 9Д030</t>
  </si>
  <si>
    <t>15 1 01 9Д040</t>
  </si>
  <si>
    <t>15 1 02 9Д100</t>
  </si>
  <si>
    <t>15 1 02 9Д110</t>
  </si>
  <si>
    <t>15 1 02 9Д120</t>
  </si>
  <si>
    <t>15 1 02 SД007</t>
  </si>
  <si>
    <t>08 1 03 28070</t>
  </si>
  <si>
    <t>Содержание централизованных источников водоснабжения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</si>
  <si>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детей-сирот и детей, оставшихся без попечения родителей, детей, находящихся в трудной жизненной ситуации, в лагерях дневного пребывания (Предоставление субсидий бюджетным, автономным учреждениям и иным некоммерческим организациям)</t>
  </si>
  <si>
    <t>03 1 Ю4 A7502</t>
  </si>
  <si>
    <t>03 1 02 S1020</t>
  </si>
  <si>
    <t>Капитальный ремонт объектов общего образования (Закупка товаров, работ и услуг для обеспечения государственных (муниципальных) нужд)</t>
  </si>
  <si>
    <t>03 1 02 S8900</t>
  </si>
  <si>
    <t>1105</t>
  </si>
  <si>
    <t>03 1 03 S2500</t>
  </si>
  <si>
    <t>Капитальный ремонт зданий учреждений, реализующих дополнительные образовательные программы спортивной подготовки (Предоставление субсидий бюджетным, автономным учреждениям и иным некоммерческим организациям)</t>
  </si>
  <si>
    <t>Ремонт и (или) содержание автомобильных дорог  (Закупка товаров, работ и услуг для обеспечения государственных (муниципальных) нужд)</t>
  </si>
  <si>
    <t>15 1 02 S1150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</si>
  <si>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</si>
  <si>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Обеспечение прочих обязательств администрации (Социальное обеспечение и иные выплаты населению)</t>
  </si>
  <si>
    <t>06 1 01 80370</t>
  </si>
  <si>
    <t xml:space="preserve">06 2 01 00430 </t>
  </si>
  <si>
    <t>06 2 01 26220</t>
  </si>
  <si>
    <t>06 2 02 26310</t>
  </si>
  <si>
    <t xml:space="preserve">Реализация мероприятий по модернизации коммунальной инфраструктуры  (Капитальные вложения в объекты недвижимого имущества государственной (муниципальной) собственности) </t>
  </si>
  <si>
    <t>19 3 И3 51540</t>
  </si>
  <si>
    <t>19 3 02 27080</t>
  </si>
  <si>
    <t xml:space="preserve">Расходы на реализацию мероприятий по модернизации объектов коммунальной инфраструктуры (Капитальные вложения в объекты недвижимого имущества государственной (муниципальной) собственности) </t>
  </si>
  <si>
    <t>Приложение 5                                                                                                                                                                                                                                                                                    к решению Совета Приволжского муниципального района                                                                                                                                                                                                                                                                                                                                                                                                                                                                      от _____.2025 № ___                                                                                                                                                                                                                                                                               "О бюджете Приволжского муниципального района на 2026 год                                                                                                                                                                                                             и на плановый период 2027 и 2028 годов"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</si>
</sst>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04"/>
      <scheme val="minor"/>
    </font>
    <font>
      <sz val="14"/>
      <name val="Arial"/>
      <family val="2"/>
      <charset val="204"/>
    </font>
    <font>
      <sz val="12"/>
      <name val="Times New Roman"/>
      <family val="1"/>
      <charset val="204"/>
    </font>
    <font>
      <b/>
      <sz val="14"/>
      <name val="Times New Roman"/>
      <family val="1"/>
      <charset val="204"/>
    </font>
    <font>
      <sz val="10"/>
      <name val="Arial"/>
      <family val="2"/>
      <charset val="204"/>
    </font>
    <font>
      <sz val="10"/>
      <name val="Arial"/>
      <family val="2"/>
      <charset val="204"/>
    </font>
    <font>
      <sz val="10"/>
      <color rgb="FF000000"/>
      <name val="Arial Cyr"/>
    </font>
    <font>
      <sz val="11"/>
      <color rgb="FFFF0000"/>
      <name val="Calibri"/>
      <family val="2"/>
      <charset val="204"/>
      <scheme val="minor"/>
    </font>
    <font>
      <b/>
      <sz val="12"/>
      <name val="Times New Roman"/>
      <family val="1"/>
      <charset val="204"/>
    </font>
    <font>
      <sz val="11"/>
      <color theme="0"/>
      <name val="Calibri"/>
      <family val="2"/>
      <charset val="204"/>
      <scheme val="minor"/>
    </font>
    <font>
      <sz val="14"/>
      <color theme="0"/>
      <name val="Calibri"/>
      <family val="2"/>
      <charset val="204"/>
      <scheme val="minor"/>
    </font>
    <font>
      <b/>
      <sz val="10"/>
      <name val="Times New Roman"/>
      <family val="1"/>
      <charset val="204"/>
    </font>
    <font>
      <sz val="12"/>
      <color indexed="8"/>
      <name val="Times New Roman"/>
      <family val="1"/>
      <charset val="204"/>
    </font>
    <font>
      <sz val="12"/>
      <color theme="1"/>
      <name val="Times New Roman"/>
      <family val="1"/>
      <charset val="204"/>
    </font>
    <font>
      <sz val="14"/>
      <name val="Calibri"/>
      <family val="2"/>
      <charset val="204"/>
      <scheme val="minor"/>
    </font>
    <font>
      <sz val="12"/>
      <color theme="1"/>
      <name val="Calibri"/>
      <family val="2"/>
      <scheme val="minor"/>
    </font>
    <font>
      <sz val="10"/>
      <color theme="1"/>
      <name val="Calibri"/>
      <family val="2"/>
      <charset val="204"/>
      <scheme val="minor"/>
    </font>
  </fonts>
  <fills count="5">
    <fill>
      <patternFill patternType="none"/>
    </fill>
    <fill>
      <patternFill patternType="gray125"/>
    </fill>
    <fill>
      <patternFill patternType="solid">
        <fgColor rgb="FFFFFF00"/>
        <bgColor indexed="64"/>
      </patternFill>
    </fill>
    <fill>
      <patternFill patternType="solid">
        <fgColor rgb="FFFFFF00"/>
        <bgColor indexed="34"/>
      </patternFill>
    </fill>
    <fill>
      <patternFill patternType="solid">
        <fgColor theme="0"/>
        <bgColor indexed="64"/>
      </patternFill>
    </fill>
  </fills>
  <borders count="9">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4" fillId="0" borderId="0"/>
    <xf numFmtId="0" fontId="5" fillId="0" borderId="0"/>
    <xf numFmtId="0" fontId="6" fillId="0" borderId="0">
      <alignment horizontal="left" wrapText="1"/>
    </xf>
  </cellStyleXfs>
  <cellXfs count="73">
    <xf numFmtId="0" fontId="0" fillId="0" borderId="0" xfId="0"/>
    <xf numFmtId="4" fontId="10" fillId="0" borderId="0" xfId="0" applyNumberFormat="1" applyFont="1"/>
    <xf numFmtId="4" fontId="9" fillId="0" borderId="0" xfId="0" applyNumberFormat="1" applyFont="1"/>
    <xf numFmtId="4" fontId="0" fillId="0" borderId="0" xfId="0" applyNumberFormat="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49" fontId="8" fillId="3" borderId="5" xfId="0" applyNumberFormat="1" applyFont="1" applyFill="1" applyBorder="1" applyAlignment="1">
      <alignment horizontal="right"/>
    </xf>
    <xf numFmtId="4" fontId="8" fillId="2" borderId="5" xfId="0" applyNumberFormat="1" applyFont="1" applyFill="1" applyBorder="1" applyAlignment="1">
      <alignment horizontal="right"/>
    </xf>
    <xf numFmtId="4" fontId="2" fillId="4" borderId="6" xfId="0" applyNumberFormat="1" applyFont="1" applyFill="1" applyBorder="1" applyAlignment="1">
      <alignment horizontal="right" wrapText="1"/>
    </xf>
    <xf numFmtId="49" fontId="2" fillId="4" borderId="3" xfId="0" applyNumberFormat="1" applyFont="1" applyFill="1" applyBorder="1" applyAlignment="1">
      <alignment horizontal="right"/>
    </xf>
    <xf numFmtId="49" fontId="2" fillId="4" borderId="5" xfId="0" applyNumberFormat="1" applyFont="1" applyFill="1" applyBorder="1" applyAlignment="1">
      <alignment horizontal="right"/>
    </xf>
    <xf numFmtId="0" fontId="0" fillId="4" borderId="0" xfId="0" applyFill="1"/>
    <xf numFmtId="49" fontId="2" fillId="4" borderId="6" xfId="0" applyNumberFormat="1" applyFont="1" applyFill="1" applyBorder="1" applyAlignment="1">
      <alignment horizontal="right"/>
    </xf>
    <xf numFmtId="4" fontId="2" fillId="4" borderId="5" xfId="0" applyNumberFormat="1" applyFont="1" applyFill="1" applyBorder="1" applyAlignment="1">
      <alignment horizontal="right"/>
    </xf>
    <xf numFmtId="0" fontId="2" fillId="4" borderId="6" xfId="0" applyFont="1" applyFill="1" applyBorder="1" applyAlignment="1">
      <alignment horizontal="left" vertical="top" wrapText="1"/>
    </xf>
    <xf numFmtId="0" fontId="2" fillId="4" borderId="5" xfId="1"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3" xfId="0" applyFont="1" applyFill="1" applyBorder="1" applyAlignment="1">
      <alignment horizontal="left" vertical="top" wrapText="1"/>
    </xf>
    <xf numFmtId="4" fontId="10" fillId="4" borderId="0" xfId="0" applyNumberFormat="1" applyFont="1" applyFill="1"/>
    <xf numFmtId="4" fontId="9" fillId="4" borderId="0" xfId="0" applyNumberFormat="1" applyFont="1" applyFill="1"/>
    <xf numFmtId="49" fontId="2" fillId="4" borderId="5" xfId="0" applyNumberFormat="1" applyFont="1" applyFill="1" applyBorder="1" applyAlignment="1">
      <alignment horizontal="right" wrapText="1"/>
    </xf>
    <xf numFmtId="49" fontId="2" fillId="4" borderId="6" xfId="0" applyNumberFormat="1" applyFont="1" applyFill="1" applyBorder="1" applyAlignment="1">
      <alignment horizontal="right" wrapText="1"/>
    </xf>
    <xf numFmtId="0" fontId="13" fillId="4" borderId="0" xfId="0" applyFont="1" applyFill="1"/>
    <xf numFmtId="0" fontId="7" fillId="4" borderId="0" xfId="0" applyFont="1" applyFill="1"/>
    <xf numFmtId="49" fontId="8" fillId="2" borderId="5" xfId="0" applyNumberFormat="1" applyFont="1" applyFill="1" applyBorder="1" applyAlignment="1">
      <alignment horizontal="right"/>
    </xf>
    <xf numFmtId="49" fontId="8" fillId="3" borderId="5" xfId="0" applyNumberFormat="1" applyFont="1" applyFill="1" applyBorder="1" applyAlignment="1">
      <alignment horizontal="right" wrapText="1"/>
    </xf>
    <xf numFmtId="4" fontId="8" fillId="2" borderId="5" xfId="0" applyNumberFormat="1" applyFont="1" applyFill="1" applyBorder="1" applyAlignment="1">
      <alignment horizontal="right" wrapText="1"/>
    </xf>
    <xf numFmtId="0" fontId="2" fillId="0" borderId="6" xfId="0" applyFont="1" applyBorder="1" applyAlignment="1">
      <alignment vertical="top" wrapText="1"/>
    </xf>
    <xf numFmtId="49" fontId="2" fillId="0" borderId="5" xfId="0" applyNumberFormat="1" applyFont="1" applyBorder="1" applyAlignment="1">
      <alignment horizontal="right"/>
    </xf>
    <xf numFmtId="0" fontId="2" fillId="0" borderId="6" xfId="0" applyFont="1" applyBorder="1" applyAlignment="1">
      <alignment horizontal="left" vertical="top" wrapText="1"/>
    </xf>
    <xf numFmtId="0" fontId="2" fillId="4" borderId="3" xfId="1" applyFont="1" applyFill="1" applyBorder="1" applyAlignment="1">
      <alignment horizontal="left" vertical="top" wrapText="1"/>
    </xf>
    <xf numFmtId="49" fontId="2" fillId="0" borderId="6" xfId="0" applyNumberFormat="1" applyFont="1" applyBorder="1" applyAlignment="1">
      <alignment horizontal="right"/>
    </xf>
    <xf numFmtId="49" fontId="2" fillId="0" borderId="3" xfId="0" applyNumberFormat="1" applyFont="1" applyBorder="1" applyAlignment="1">
      <alignment horizontal="right"/>
    </xf>
    <xf numFmtId="4" fontId="2" fillId="0" borderId="5" xfId="0" applyNumberFormat="1" applyFont="1" applyBorder="1" applyAlignment="1">
      <alignment horizontal="right"/>
    </xf>
    <xf numFmtId="49" fontId="12" fillId="0" borderId="5" xfId="0" applyNumberFormat="1" applyFont="1" applyBorder="1" applyAlignment="1">
      <alignment horizontal="right"/>
    </xf>
    <xf numFmtId="49" fontId="12" fillId="0" borderId="6" xfId="0" applyNumberFormat="1" applyFont="1" applyBorder="1" applyAlignment="1">
      <alignment horizontal="right"/>
    </xf>
    <xf numFmtId="4" fontId="2" fillId="0" borderId="3" xfId="0" applyNumberFormat="1" applyFont="1" applyBorder="1" applyAlignment="1">
      <alignment horizontal="right"/>
    </xf>
    <xf numFmtId="0" fontId="2" fillId="0" borderId="3"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4" fontId="2" fillId="0" borderId="6" xfId="0" applyNumberFormat="1" applyFont="1" applyBorder="1" applyAlignment="1">
      <alignment horizontal="right"/>
    </xf>
    <xf numFmtId="0" fontId="2" fillId="0" borderId="0" xfId="0" applyFont="1" applyAlignment="1">
      <alignment horizontal="right"/>
    </xf>
    <xf numFmtId="4" fontId="2" fillId="0" borderId="5" xfId="0" applyNumberFormat="1" applyFont="1" applyBorder="1" applyAlignment="1">
      <alignment horizontal="right" wrapText="1"/>
    </xf>
    <xf numFmtId="49" fontId="2" fillId="0" borderId="5" xfId="0" applyNumberFormat="1" applyFont="1" applyBorder="1" applyAlignment="1">
      <alignment horizontal="right" wrapText="1"/>
    </xf>
    <xf numFmtId="49" fontId="2" fillId="0" borderId="6" xfId="0" applyNumberFormat="1" applyFont="1" applyBorder="1" applyAlignment="1">
      <alignment horizontal="right" wrapText="1"/>
    </xf>
    <xf numFmtId="0" fontId="2" fillId="0" borderId="5" xfId="0" applyFont="1" applyBorder="1" applyAlignment="1">
      <alignment horizontal="left" vertical="top" wrapText="1"/>
    </xf>
    <xf numFmtId="4" fontId="2" fillId="0" borderId="6" xfId="0" applyNumberFormat="1" applyFont="1" applyBorder="1" applyAlignment="1">
      <alignment horizontal="right" wrapText="1"/>
    </xf>
    <xf numFmtId="0" fontId="2" fillId="0" borderId="5" xfId="1" applyFont="1" applyBorder="1" applyAlignment="1">
      <alignment horizontal="left" vertical="top" wrapText="1"/>
    </xf>
    <xf numFmtId="49" fontId="2" fillId="0" borderId="8" xfId="0" applyNumberFormat="1" applyFont="1" applyBorder="1" applyAlignment="1">
      <alignment horizontal="right" wrapText="1"/>
    </xf>
    <xf numFmtId="0" fontId="2" fillId="0" borderId="3" xfId="0" applyFont="1" applyBorder="1" applyAlignment="1">
      <alignment horizontal="left" vertical="top" wrapText="1"/>
    </xf>
    <xf numFmtId="49" fontId="2" fillId="0" borderId="8" xfId="0" applyNumberFormat="1" applyFont="1" applyBorder="1" applyAlignment="1">
      <alignment horizontal="right"/>
    </xf>
    <xf numFmtId="4" fontId="14" fillId="4" borderId="0" xfId="0" applyNumberFormat="1" applyFont="1" applyFill="1"/>
    <xf numFmtId="0" fontId="8" fillId="2" borderId="5" xfId="0" applyFont="1" applyFill="1" applyBorder="1" applyAlignment="1">
      <alignment horizontal="left" vertical="top" wrapText="1"/>
    </xf>
    <xf numFmtId="0" fontId="2" fillId="4" borderId="6" xfId="1" applyFont="1" applyFill="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top" wrapText="1"/>
    </xf>
    <xf numFmtId="0" fontId="8" fillId="3" borderId="5"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2" fillId="0" borderId="6" xfId="1" applyFont="1" applyBorder="1" applyAlignment="1">
      <alignment horizontal="left" vertical="top" wrapText="1"/>
    </xf>
    <xf numFmtId="0" fontId="8" fillId="2" borderId="5" xfId="0" applyFont="1" applyFill="1" applyBorder="1" applyAlignment="1">
      <alignment horizontal="justify" vertical="center" wrapText="1"/>
    </xf>
    <xf numFmtId="4" fontId="13" fillId="0" borderId="6" xfId="0" applyNumberFormat="1" applyFont="1" applyBorder="1" applyAlignment="1">
      <alignment horizontal="right"/>
    </xf>
    <xf numFmtId="4" fontId="12" fillId="0" borderId="6" xfId="0" applyNumberFormat="1" applyFont="1" applyBorder="1" applyAlignment="1">
      <alignment horizontal="right"/>
    </xf>
    <xf numFmtId="4" fontId="2" fillId="0" borderId="8" xfId="0" applyNumberFormat="1" applyFont="1" applyBorder="1" applyAlignment="1">
      <alignment horizontal="right" wrapText="1"/>
    </xf>
    <xf numFmtId="0" fontId="13" fillId="0" borderId="0" xfId="0" applyFont="1" applyAlignment="1">
      <alignment horizontal="right" vertical="top" wrapText="1"/>
    </xf>
    <xf numFmtId="0" fontId="15" fillId="0" borderId="0" xfId="0" applyFont="1" applyAlignment="1">
      <alignment horizontal="right"/>
    </xf>
    <xf numFmtId="0" fontId="0" fillId="0" borderId="0" xfId="0" applyAlignment="1">
      <alignment horizontal="right"/>
    </xf>
    <xf numFmtId="0" fontId="11" fillId="0" borderId="2" xfId="0" applyFont="1" applyBorder="1" applyAlignment="1">
      <alignment horizontal="right" wrapText="1"/>
    </xf>
    <xf numFmtId="0" fontId="16" fillId="0" borderId="2" xfId="0" applyFont="1" applyBorder="1" applyAlignment="1">
      <alignment horizontal="right" wrapText="1"/>
    </xf>
    <xf numFmtId="0" fontId="3" fillId="0" borderId="0" xfId="0" applyFont="1" applyAlignment="1">
      <alignment horizontal="center" wrapText="1"/>
    </xf>
    <xf numFmtId="0" fontId="1" fillId="0" borderId="0" xfId="0" applyFont="1" applyAlignment="1">
      <alignment wrapText="1"/>
    </xf>
  </cellXfs>
  <cellStyles count="4">
    <cellStyle name="xl30" xfId="3" xr:uid="{00000000-0005-0000-0000-000000000000}"/>
    <cellStyle name="Обычный" xfId="0" builtinId="0"/>
    <cellStyle name="Обычный 2" xfId="1" xr:uid="{00000000-0005-0000-0000-000002000000}"/>
    <cellStyle name="Обычный 3" xfId="2" xr:uid="{00000000-0005-0000-0000-000003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7"/>
  <sheetViews>
    <sheetView tabSelected="1" view="pageBreakPreview" zoomScale="87" zoomScaleNormal="80" zoomScaleSheetLayoutView="87" workbookViewId="0">
      <selection activeCell="E160" sqref="E160"/>
    </sheetView>
  </sheetViews>
  <sheetFormatPr defaultColWidth="91" defaultRowHeight="15" x14ac:dyDescent="0.25"/>
  <cols>
    <col min="1" max="1" width="82.7109375" customWidth="1"/>
    <col min="2" max="2" width="9.140625" customWidth="1"/>
    <col min="3" max="3" width="13.85546875" customWidth="1"/>
    <col min="4" max="4" width="17.85546875" customWidth="1"/>
    <col min="5" max="5" width="10.140625" customWidth="1"/>
    <col min="6" max="6" width="19.42578125" customWidth="1"/>
    <col min="7" max="8" width="20.28515625" customWidth="1"/>
    <col min="9" max="9" width="8.140625" customWidth="1"/>
    <col min="10" max="10" width="14.42578125" customWidth="1"/>
    <col min="11" max="11" width="16.5703125" customWidth="1"/>
  </cols>
  <sheetData>
    <row r="1" spans="1:14" ht="85.5" customHeight="1" x14ac:dyDescent="0.25">
      <c r="A1" s="66" t="s">
        <v>290</v>
      </c>
      <c r="B1" s="67"/>
      <c r="C1" s="67"/>
      <c r="D1" s="67"/>
      <c r="E1" s="67"/>
      <c r="F1" s="67"/>
      <c r="G1" s="68"/>
      <c r="H1" s="68"/>
    </row>
    <row r="2" spans="1:14" ht="30" customHeight="1" x14ac:dyDescent="0.3">
      <c r="A2" s="71" t="s">
        <v>251</v>
      </c>
      <c r="B2" s="72"/>
      <c r="C2" s="72"/>
      <c r="D2" s="72"/>
      <c r="E2" s="72"/>
      <c r="F2" s="72"/>
      <c r="G2" s="72"/>
      <c r="H2" s="72"/>
    </row>
    <row r="3" spans="1:14" ht="24" customHeight="1" x14ac:dyDescent="0.25">
      <c r="A3" s="69" t="s">
        <v>0</v>
      </c>
      <c r="B3" s="70"/>
      <c r="C3" s="70"/>
      <c r="D3" s="70"/>
      <c r="E3" s="70"/>
      <c r="F3" s="70"/>
      <c r="G3" s="70"/>
      <c r="H3" s="70"/>
    </row>
    <row r="4" spans="1:14" ht="47.25" x14ac:dyDescent="0.25">
      <c r="A4" s="4" t="s">
        <v>1</v>
      </c>
      <c r="B4" s="4" t="s">
        <v>2</v>
      </c>
      <c r="C4" s="4" t="s">
        <v>211</v>
      </c>
      <c r="D4" s="4" t="s">
        <v>212</v>
      </c>
      <c r="E4" s="4" t="s">
        <v>213</v>
      </c>
      <c r="F4" s="5" t="s">
        <v>221</v>
      </c>
      <c r="G4" s="6" t="s">
        <v>245</v>
      </c>
      <c r="H4" s="6" t="s">
        <v>252</v>
      </c>
    </row>
    <row r="5" spans="1:14" ht="31.5" x14ac:dyDescent="0.25">
      <c r="A5" s="53" t="s">
        <v>3</v>
      </c>
      <c r="B5" s="7" t="s">
        <v>4</v>
      </c>
      <c r="C5" s="7"/>
      <c r="D5" s="7"/>
      <c r="E5" s="7"/>
      <c r="F5" s="8">
        <f>SUM(F6:F70)</f>
        <v>680942177.83999991</v>
      </c>
      <c r="G5" s="8">
        <f>SUM(G6:G70)</f>
        <v>526752633.27999997</v>
      </c>
      <c r="H5" s="8">
        <f>SUM(H6:H70)</f>
        <v>519653059.35000008</v>
      </c>
      <c r="I5" s="12"/>
      <c r="L5" s="3"/>
      <c r="M5" s="3"/>
      <c r="N5" s="3"/>
    </row>
    <row r="6" spans="1:14" ht="63" x14ac:dyDescent="0.25">
      <c r="A6" s="15" t="s">
        <v>177</v>
      </c>
      <c r="B6" s="13" t="s">
        <v>4</v>
      </c>
      <c r="C6" s="13" t="s">
        <v>6</v>
      </c>
      <c r="D6" s="13" t="s">
        <v>178</v>
      </c>
      <c r="E6" s="13" t="s">
        <v>8</v>
      </c>
      <c r="F6" s="34">
        <f>1211502.24+112200+366033.08-1365884.8</f>
        <v>323850.52</v>
      </c>
      <c r="G6" s="34">
        <f t="shared" ref="G6:H6" si="0">1211502.24+112200+366033.08</f>
        <v>1689735.32</v>
      </c>
      <c r="H6" s="34">
        <f t="shared" si="0"/>
        <v>1689735.32</v>
      </c>
      <c r="I6" s="12"/>
    </row>
    <row r="7" spans="1:14" ht="31.5" x14ac:dyDescent="0.25">
      <c r="A7" s="15" t="s">
        <v>179</v>
      </c>
      <c r="B7" s="13" t="s">
        <v>4</v>
      </c>
      <c r="C7" s="13" t="s">
        <v>6</v>
      </c>
      <c r="D7" s="13" t="s">
        <v>178</v>
      </c>
      <c r="E7" s="13" t="s">
        <v>10</v>
      </c>
      <c r="F7" s="34">
        <f>11345745.68+200000+1365884.8</f>
        <v>12911630.48</v>
      </c>
      <c r="G7" s="34">
        <f t="shared" ref="G7:H7" si="1">11345745.68+200000</f>
        <v>11545745.68</v>
      </c>
      <c r="H7" s="34">
        <f t="shared" si="1"/>
        <v>11545745.68</v>
      </c>
      <c r="I7" s="12"/>
    </row>
    <row r="8" spans="1:14" ht="31.5" x14ac:dyDescent="0.25">
      <c r="A8" s="15" t="s">
        <v>180</v>
      </c>
      <c r="B8" s="13" t="s">
        <v>4</v>
      </c>
      <c r="C8" s="13" t="s">
        <v>6</v>
      </c>
      <c r="D8" s="13" t="s">
        <v>178</v>
      </c>
      <c r="E8" s="13" t="s">
        <v>12</v>
      </c>
      <c r="F8" s="34">
        <v>140700</v>
      </c>
      <c r="G8" s="34">
        <v>140700</v>
      </c>
      <c r="H8" s="34">
        <v>140700</v>
      </c>
      <c r="I8" s="12"/>
    </row>
    <row r="9" spans="1:14" ht="78.75" x14ac:dyDescent="0.25">
      <c r="A9" s="15" t="s">
        <v>5</v>
      </c>
      <c r="B9" s="13" t="s">
        <v>4</v>
      </c>
      <c r="C9" s="13" t="s">
        <v>6</v>
      </c>
      <c r="D9" s="13" t="s">
        <v>7</v>
      </c>
      <c r="E9" s="13" t="s">
        <v>8</v>
      </c>
      <c r="F9" s="34">
        <f>42449435.4+95100+12819729.49-15608.84</f>
        <v>55348656.049999997</v>
      </c>
      <c r="G9" s="34">
        <f t="shared" ref="G9:H9" si="2">42449435.4+95100+12819729.49</f>
        <v>55364264.890000001</v>
      </c>
      <c r="H9" s="34">
        <f t="shared" si="2"/>
        <v>55364264.890000001</v>
      </c>
      <c r="I9" s="12"/>
    </row>
    <row r="10" spans="1:14" ht="47.25" x14ac:dyDescent="0.25">
      <c r="A10" s="15" t="s">
        <v>9</v>
      </c>
      <c r="B10" s="13" t="s">
        <v>4</v>
      </c>
      <c r="C10" s="13" t="s">
        <v>6</v>
      </c>
      <c r="D10" s="13" t="s">
        <v>7</v>
      </c>
      <c r="E10" s="13" t="s">
        <v>10</v>
      </c>
      <c r="F10" s="34">
        <f>20026150+2313193+36857400-9702260.18+124119.3-7076859.12</f>
        <v>42541743</v>
      </c>
      <c r="G10" s="34">
        <f>36857400+19326150-10585550.44+124394.56</f>
        <v>45722394.120000005</v>
      </c>
      <c r="H10" s="34">
        <f>36857400+19326150-10579590.68+124394.56</f>
        <v>45728353.880000003</v>
      </c>
      <c r="I10" s="12"/>
    </row>
    <row r="11" spans="1:14" ht="31.5" x14ac:dyDescent="0.25">
      <c r="A11" s="15" t="s">
        <v>11</v>
      </c>
      <c r="B11" s="13" t="s">
        <v>4</v>
      </c>
      <c r="C11" s="13" t="s">
        <v>6</v>
      </c>
      <c r="D11" s="13" t="s">
        <v>7</v>
      </c>
      <c r="E11" s="13" t="s">
        <v>12</v>
      </c>
      <c r="F11" s="41">
        <f>473800</f>
        <v>473800</v>
      </c>
      <c r="G11" s="41">
        <f t="shared" ref="G11:H11" si="3">473800</f>
        <v>473800</v>
      </c>
      <c r="H11" s="41">
        <f t="shared" si="3"/>
        <v>473800</v>
      </c>
      <c r="I11" s="12"/>
    </row>
    <row r="12" spans="1:14" ht="141.75" x14ac:dyDescent="0.25">
      <c r="A12" s="15" t="s">
        <v>162</v>
      </c>
      <c r="B12" s="13" t="s">
        <v>4</v>
      </c>
      <c r="C12" s="13" t="s">
        <v>6</v>
      </c>
      <c r="D12" s="32" t="s">
        <v>13</v>
      </c>
      <c r="E12" s="32" t="s">
        <v>8</v>
      </c>
      <c r="F12" s="41">
        <v>94548709</v>
      </c>
      <c r="G12" s="41">
        <v>95406709</v>
      </c>
      <c r="H12" s="41">
        <v>95406709</v>
      </c>
      <c r="I12" s="12"/>
    </row>
    <row r="13" spans="1:14" ht="110.25" x14ac:dyDescent="0.25">
      <c r="A13" s="15" t="s">
        <v>163</v>
      </c>
      <c r="B13" s="13" t="s">
        <v>4</v>
      </c>
      <c r="C13" s="13" t="s">
        <v>6</v>
      </c>
      <c r="D13" s="32" t="s">
        <v>13</v>
      </c>
      <c r="E13" s="32" t="s">
        <v>10</v>
      </c>
      <c r="F13" s="41">
        <v>493000</v>
      </c>
      <c r="G13" s="41">
        <v>327250</v>
      </c>
      <c r="H13" s="41">
        <v>327250</v>
      </c>
      <c r="I13" s="12"/>
    </row>
    <row r="14" spans="1:14" ht="83.25" customHeight="1" x14ac:dyDescent="0.25">
      <c r="A14" s="15" t="s">
        <v>230</v>
      </c>
      <c r="B14" s="13" t="s">
        <v>4</v>
      </c>
      <c r="C14" s="13" t="s">
        <v>6</v>
      </c>
      <c r="D14" s="32" t="s">
        <v>229</v>
      </c>
      <c r="E14" s="32" t="s">
        <v>10</v>
      </c>
      <c r="F14" s="41">
        <v>3980975</v>
      </c>
      <c r="G14" s="41">
        <v>3980975</v>
      </c>
      <c r="H14" s="41">
        <v>3980975</v>
      </c>
      <c r="I14" s="12"/>
    </row>
    <row r="15" spans="1:14" ht="141.75" x14ac:dyDescent="0.25">
      <c r="A15" s="15" t="s">
        <v>14</v>
      </c>
      <c r="B15" s="13" t="s">
        <v>4</v>
      </c>
      <c r="C15" s="13" t="s">
        <v>6</v>
      </c>
      <c r="D15" s="32" t="s">
        <v>15</v>
      </c>
      <c r="E15" s="32" t="s">
        <v>8</v>
      </c>
      <c r="F15" s="63">
        <v>527728</v>
      </c>
      <c r="G15" s="41">
        <v>527728</v>
      </c>
      <c r="H15" s="41">
        <v>527728</v>
      </c>
      <c r="I15" s="12"/>
    </row>
    <row r="16" spans="1:14" ht="47.25" x14ac:dyDescent="0.25">
      <c r="A16" s="16" t="s">
        <v>16</v>
      </c>
      <c r="B16" s="11" t="s">
        <v>4</v>
      </c>
      <c r="C16" s="11" t="s">
        <v>6</v>
      </c>
      <c r="D16" s="29" t="s">
        <v>17</v>
      </c>
      <c r="E16" s="29" t="s">
        <v>10</v>
      </c>
      <c r="F16" s="34">
        <f>2109700-338000</f>
        <v>1771700</v>
      </c>
      <c r="G16" s="34">
        <f>2011700</f>
        <v>2011700</v>
      </c>
      <c r="H16" s="34">
        <f>2011700</f>
        <v>2011700</v>
      </c>
      <c r="I16" s="12"/>
    </row>
    <row r="17" spans="1:9" ht="31.5" x14ac:dyDescent="0.25">
      <c r="A17" s="54" t="s">
        <v>18</v>
      </c>
      <c r="B17" s="11" t="s">
        <v>4</v>
      </c>
      <c r="C17" s="11" t="s">
        <v>6</v>
      </c>
      <c r="D17" s="29" t="s">
        <v>19</v>
      </c>
      <c r="E17" s="29" t="s">
        <v>10</v>
      </c>
      <c r="F17" s="34">
        <f>4050100-4050100</f>
        <v>0</v>
      </c>
      <c r="G17" s="34">
        <v>0</v>
      </c>
      <c r="H17" s="34">
        <v>0</v>
      </c>
      <c r="I17" s="12"/>
    </row>
    <row r="18" spans="1:9" ht="31.5" x14ac:dyDescent="0.25">
      <c r="A18" s="54" t="s">
        <v>247</v>
      </c>
      <c r="B18" s="11" t="s">
        <v>4</v>
      </c>
      <c r="C18" s="11" t="s">
        <v>6</v>
      </c>
      <c r="D18" s="29" t="s">
        <v>248</v>
      </c>
      <c r="E18" s="29" t="s">
        <v>10</v>
      </c>
      <c r="F18" s="34">
        <v>0</v>
      </c>
      <c r="G18" s="34">
        <v>0</v>
      </c>
      <c r="H18" s="34">
        <v>0</v>
      </c>
      <c r="I18" s="12"/>
    </row>
    <row r="19" spans="1:9" ht="31.5" x14ac:dyDescent="0.25">
      <c r="A19" s="54" t="s">
        <v>20</v>
      </c>
      <c r="B19" s="11" t="s">
        <v>4</v>
      </c>
      <c r="C19" s="11" t="s">
        <v>6</v>
      </c>
      <c r="D19" s="29" t="s">
        <v>21</v>
      </c>
      <c r="E19" s="29" t="s">
        <v>10</v>
      </c>
      <c r="F19" s="34">
        <f>1295200-123000</f>
        <v>1172200</v>
      </c>
      <c r="G19" s="34">
        <v>1295200</v>
      </c>
      <c r="H19" s="34">
        <v>1295200</v>
      </c>
      <c r="I19" s="12"/>
    </row>
    <row r="20" spans="1:9" ht="34.5" customHeight="1" x14ac:dyDescent="0.25">
      <c r="A20" s="17" t="s">
        <v>143</v>
      </c>
      <c r="B20" s="11" t="s">
        <v>4</v>
      </c>
      <c r="C20" s="11" t="s">
        <v>6</v>
      </c>
      <c r="D20" s="29" t="s">
        <v>144</v>
      </c>
      <c r="E20" s="29" t="s">
        <v>10</v>
      </c>
      <c r="F20" s="34">
        <v>0</v>
      </c>
      <c r="G20" s="34">
        <v>0</v>
      </c>
      <c r="H20" s="34">
        <v>0</v>
      </c>
      <c r="I20" s="12"/>
    </row>
    <row r="21" spans="1:9" ht="63" x14ac:dyDescent="0.25">
      <c r="A21" s="15" t="s">
        <v>177</v>
      </c>
      <c r="B21" s="13" t="s">
        <v>4</v>
      </c>
      <c r="C21" s="13" t="s">
        <v>22</v>
      </c>
      <c r="D21" s="32" t="s">
        <v>181</v>
      </c>
      <c r="E21" s="32" t="s">
        <v>8</v>
      </c>
      <c r="F21" s="41">
        <f>48426+14624-32810</f>
        <v>30240</v>
      </c>
      <c r="G21" s="41">
        <f t="shared" ref="G21:H21" si="4">48426+14624</f>
        <v>63050</v>
      </c>
      <c r="H21" s="41">
        <f t="shared" si="4"/>
        <v>63050</v>
      </c>
      <c r="I21" s="12"/>
    </row>
    <row r="22" spans="1:9" ht="31.5" x14ac:dyDescent="0.25">
      <c r="A22" s="15" t="s">
        <v>179</v>
      </c>
      <c r="B22" s="13" t="s">
        <v>4</v>
      </c>
      <c r="C22" s="13" t="s">
        <v>22</v>
      </c>
      <c r="D22" s="32" t="s">
        <v>181</v>
      </c>
      <c r="E22" s="32" t="s">
        <v>10</v>
      </c>
      <c r="F22" s="34">
        <f>3197150+32810</f>
        <v>3229960</v>
      </c>
      <c r="G22" s="34">
        <f t="shared" ref="G22:H22" si="5">3197150</f>
        <v>3197150</v>
      </c>
      <c r="H22" s="34">
        <f t="shared" si="5"/>
        <v>3197150</v>
      </c>
      <c r="I22" s="12"/>
    </row>
    <row r="23" spans="1:9" ht="78.75" x14ac:dyDescent="0.25">
      <c r="A23" s="54" t="s">
        <v>23</v>
      </c>
      <c r="B23" s="11" t="s">
        <v>4</v>
      </c>
      <c r="C23" s="11" t="s">
        <v>22</v>
      </c>
      <c r="D23" s="29" t="s">
        <v>24</v>
      </c>
      <c r="E23" s="29" t="s">
        <v>8</v>
      </c>
      <c r="F23" s="34">
        <f>15625501.79+64200+4718901.54+191510.2</f>
        <v>20600113.529999997</v>
      </c>
      <c r="G23" s="34">
        <f t="shared" ref="G23:H23" si="6">15625501.79+64200+4718901.54</f>
        <v>20408603.329999998</v>
      </c>
      <c r="H23" s="34">
        <f t="shared" si="6"/>
        <v>20408603.329999998</v>
      </c>
      <c r="I23" s="12"/>
    </row>
    <row r="24" spans="1:9" ht="47.25" x14ac:dyDescent="0.25">
      <c r="A24" s="54" t="s">
        <v>25</v>
      </c>
      <c r="B24" s="11" t="s">
        <v>4</v>
      </c>
      <c r="C24" s="11" t="s">
        <v>22</v>
      </c>
      <c r="D24" s="29" t="s">
        <v>24</v>
      </c>
      <c r="E24" s="29" t="s">
        <v>10</v>
      </c>
      <c r="F24" s="34">
        <f>13636959+37010879+29620900-40000000+2174800.69</f>
        <v>42443538.689999998</v>
      </c>
      <c r="G24" s="34">
        <f>37010879+29620900-16000000-3615042.95</f>
        <v>47016736.049999997</v>
      </c>
      <c r="H24" s="34">
        <f>37010879+29620900-22000000-4225913.82</f>
        <v>40405865.18</v>
      </c>
      <c r="I24" s="12"/>
    </row>
    <row r="25" spans="1:9" ht="33.75" customHeight="1" x14ac:dyDescent="0.25">
      <c r="A25" s="54" t="s">
        <v>26</v>
      </c>
      <c r="B25" s="11" t="s">
        <v>4</v>
      </c>
      <c r="C25" s="11" t="s">
        <v>22</v>
      </c>
      <c r="D25" s="29" t="s">
        <v>24</v>
      </c>
      <c r="E25" s="29" t="s">
        <v>12</v>
      </c>
      <c r="F25" s="34">
        <f>1120450+5000-5000</f>
        <v>1120450</v>
      </c>
      <c r="G25" s="34">
        <f t="shared" ref="G25:H25" si="7">1120450+5000</f>
        <v>1125450</v>
      </c>
      <c r="H25" s="34">
        <f t="shared" si="7"/>
        <v>1125450</v>
      </c>
      <c r="I25" s="12"/>
    </row>
    <row r="26" spans="1:9" ht="162" customHeight="1" x14ac:dyDescent="0.25">
      <c r="A26" s="17" t="s">
        <v>165</v>
      </c>
      <c r="B26" s="11" t="s">
        <v>4</v>
      </c>
      <c r="C26" s="11" t="s">
        <v>22</v>
      </c>
      <c r="D26" s="29" t="s">
        <v>27</v>
      </c>
      <c r="E26" s="29" t="s">
        <v>8</v>
      </c>
      <c r="F26" s="34">
        <v>113749318.75</v>
      </c>
      <c r="G26" s="34">
        <v>113859225</v>
      </c>
      <c r="H26" s="34">
        <v>113859225</v>
      </c>
      <c r="I26" s="12"/>
    </row>
    <row r="27" spans="1:9" ht="141.75" x14ac:dyDescent="0.25">
      <c r="A27" s="17" t="s">
        <v>166</v>
      </c>
      <c r="B27" s="11" t="s">
        <v>4</v>
      </c>
      <c r="C27" s="11" t="s">
        <v>22</v>
      </c>
      <c r="D27" s="29" t="s">
        <v>27</v>
      </c>
      <c r="E27" s="29" t="s">
        <v>10</v>
      </c>
      <c r="F27" s="34">
        <v>3383661</v>
      </c>
      <c r="G27" s="34">
        <v>3400615</v>
      </c>
      <c r="H27" s="34">
        <v>3400615</v>
      </c>
      <c r="I27" s="12"/>
    </row>
    <row r="28" spans="1:9" ht="141.75" x14ac:dyDescent="0.25">
      <c r="A28" s="17" t="s">
        <v>28</v>
      </c>
      <c r="B28" s="10" t="s">
        <v>4</v>
      </c>
      <c r="C28" s="10" t="s">
        <v>22</v>
      </c>
      <c r="D28" s="33" t="s">
        <v>29</v>
      </c>
      <c r="E28" s="33" t="s">
        <v>30</v>
      </c>
      <c r="F28" s="37">
        <v>2468247.75</v>
      </c>
      <c r="G28" s="37">
        <v>2468683</v>
      </c>
      <c r="H28" s="37">
        <v>2468683</v>
      </c>
      <c r="I28" s="12"/>
    </row>
    <row r="29" spans="1:9" ht="154.5" customHeight="1" x14ac:dyDescent="0.25">
      <c r="A29" s="15" t="s">
        <v>220</v>
      </c>
      <c r="B29" s="11" t="s">
        <v>4</v>
      </c>
      <c r="C29" s="11" t="s">
        <v>22</v>
      </c>
      <c r="D29" s="29" t="s">
        <v>219</v>
      </c>
      <c r="E29" s="29" t="s">
        <v>8</v>
      </c>
      <c r="F29" s="34">
        <v>4265352</v>
      </c>
      <c r="G29" s="34">
        <v>4265352</v>
      </c>
      <c r="H29" s="34">
        <v>4265352</v>
      </c>
      <c r="I29" s="12"/>
    </row>
    <row r="30" spans="1:9" ht="83.25" customHeight="1" x14ac:dyDescent="0.25">
      <c r="A30" s="15" t="s">
        <v>230</v>
      </c>
      <c r="B30" s="13" t="s">
        <v>4</v>
      </c>
      <c r="C30" s="13" t="s">
        <v>22</v>
      </c>
      <c r="D30" s="32" t="s">
        <v>261</v>
      </c>
      <c r="E30" s="32" t="s">
        <v>10</v>
      </c>
      <c r="F30" s="41">
        <v>188572.5</v>
      </c>
      <c r="G30" s="41">
        <v>188572.5</v>
      </c>
      <c r="H30" s="41">
        <v>188572.5</v>
      </c>
      <c r="I30" s="12"/>
    </row>
    <row r="31" spans="1:9" ht="86.25" customHeight="1" x14ac:dyDescent="0.25">
      <c r="A31" s="28" t="s">
        <v>255</v>
      </c>
      <c r="B31" s="29" t="s">
        <v>4</v>
      </c>
      <c r="C31" s="29" t="s">
        <v>22</v>
      </c>
      <c r="D31" s="29" t="s">
        <v>256</v>
      </c>
      <c r="E31" s="29" t="s">
        <v>10</v>
      </c>
      <c r="F31" s="37">
        <v>2951961.6</v>
      </c>
      <c r="G31" s="37">
        <v>2708712</v>
      </c>
      <c r="H31" s="37">
        <v>2738808.8</v>
      </c>
      <c r="I31" s="12"/>
    </row>
    <row r="32" spans="1:9" ht="309" customHeight="1" x14ac:dyDescent="0.25">
      <c r="A32" s="15" t="s">
        <v>280</v>
      </c>
      <c r="B32" s="10" t="s">
        <v>4</v>
      </c>
      <c r="C32" s="10" t="s">
        <v>22</v>
      </c>
      <c r="D32" s="33" t="s">
        <v>204</v>
      </c>
      <c r="E32" s="33" t="s">
        <v>10</v>
      </c>
      <c r="F32" s="37">
        <v>1486620.8</v>
      </c>
      <c r="G32" s="37">
        <v>1500856.6</v>
      </c>
      <c r="H32" s="37">
        <v>1500856.6</v>
      </c>
      <c r="I32" s="12"/>
    </row>
    <row r="33" spans="1:9" ht="94.5" x14ac:dyDescent="0.25">
      <c r="A33" s="15" t="s">
        <v>167</v>
      </c>
      <c r="B33" s="10" t="s">
        <v>4</v>
      </c>
      <c r="C33" s="10" t="s">
        <v>22</v>
      </c>
      <c r="D33" s="33" t="s">
        <v>31</v>
      </c>
      <c r="E33" s="33" t="s">
        <v>10</v>
      </c>
      <c r="F33" s="37">
        <f>12023200+56952</f>
        <v>12080152</v>
      </c>
      <c r="G33" s="37">
        <f>12048614.82+63413.76</f>
        <v>12112028.58</v>
      </c>
      <c r="H33" s="37">
        <f>11355685.52+65743.44</f>
        <v>11421428.959999999</v>
      </c>
      <c r="I33" s="12"/>
    </row>
    <row r="34" spans="1:9" ht="47.25" customHeight="1" x14ac:dyDescent="0.25">
      <c r="A34" s="28" t="s">
        <v>273</v>
      </c>
      <c r="B34" s="33" t="s">
        <v>4</v>
      </c>
      <c r="C34" s="33" t="s">
        <v>22</v>
      </c>
      <c r="D34" s="33" t="s">
        <v>272</v>
      </c>
      <c r="E34" s="33" t="s">
        <v>10</v>
      </c>
      <c r="F34" s="37">
        <f>11551221+607959</f>
        <v>12159180</v>
      </c>
      <c r="G34" s="37">
        <v>0</v>
      </c>
      <c r="H34" s="37">
        <v>0</v>
      </c>
      <c r="I34" s="12"/>
    </row>
    <row r="35" spans="1:9" ht="78.75" x14ac:dyDescent="0.25">
      <c r="A35" s="15" t="s">
        <v>208</v>
      </c>
      <c r="B35" s="11" t="s">
        <v>4</v>
      </c>
      <c r="C35" s="11" t="s">
        <v>22</v>
      </c>
      <c r="D35" s="29" t="s">
        <v>274</v>
      </c>
      <c r="E35" s="29" t="s">
        <v>10</v>
      </c>
      <c r="F35" s="34">
        <f>18870667+993193</f>
        <v>19863860</v>
      </c>
      <c r="G35" s="34">
        <v>0</v>
      </c>
      <c r="H35" s="34">
        <v>0</v>
      </c>
      <c r="I35" s="12"/>
    </row>
    <row r="36" spans="1:9" ht="47.25" x14ac:dyDescent="0.25">
      <c r="A36" s="16" t="s">
        <v>16</v>
      </c>
      <c r="B36" s="11" t="s">
        <v>4</v>
      </c>
      <c r="C36" s="11" t="s">
        <v>22</v>
      </c>
      <c r="D36" s="29" t="s">
        <v>17</v>
      </c>
      <c r="E36" s="29" t="s">
        <v>10</v>
      </c>
      <c r="F36" s="34">
        <f>4786800+2590513.1</f>
        <v>7377313.0999999996</v>
      </c>
      <c r="G36" s="34">
        <f t="shared" ref="G36:H36" si="8">4786800</f>
        <v>4786800</v>
      </c>
      <c r="H36" s="34">
        <f t="shared" si="8"/>
        <v>4786800</v>
      </c>
      <c r="I36" s="12"/>
    </row>
    <row r="37" spans="1:9" ht="31.5" x14ac:dyDescent="0.25">
      <c r="A37" s="31" t="s">
        <v>18</v>
      </c>
      <c r="B37" s="10" t="s">
        <v>4</v>
      </c>
      <c r="C37" s="10" t="s">
        <v>22</v>
      </c>
      <c r="D37" s="33" t="s">
        <v>19</v>
      </c>
      <c r="E37" s="33" t="s">
        <v>10</v>
      </c>
      <c r="F37" s="37">
        <v>0</v>
      </c>
      <c r="G37" s="37">
        <v>0</v>
      </c>
      <c r="H37" s="37">
        <v>0</v>
      </c>
      <c r="I37" s="12"/>
    </row>
    <row r="38" spans="1:9" ht="50.25" customHeight="1" x14ac:dyDescent="0.25">
      <c r="A38" s="16" t="s">
        <v>234</v>
      </c>
      <c r="B38" s="10" t="s">
        <v>4</v>
      </c>
      <c r="C38" s="10" t="s">
        <v>22</v>
      </c>
      <c r="D38" s="33" t="s">
        <v>254</v>
      </c>
      <c r="E38" s="33" t="s">
        <v>10</v>
      </c>
      <c r="F38" s="37">
        <f>111704343.96+6605000</f>
        <v>118309343.95999999</v>
      </c>
      <c r="G38" s="37">
        <v>0</v>
      </c>
      <c r="H38" s="37">
        <v>0</v>
      </c>
      <c r="I38" s="12"/>
    </row>
    <row r="39" spans="1:9" ht="50.25" customHeight="1" x14ac:dyDescent="0.25">
      <c r="A39" s="16" t="s">
        <v>234</v>
      </c>
      <c r="B39" s="10" t="s">
        <v>4</v>
      </c>
      <c r="C39" s="10" t="s">
        <v>22</v>
      </c>
      <c r="D39" s="33" t="s">
        <v>271</v>
      </c>
      <c r="E39" s="33" t="s">
        <v>10</v>
      </c>
      <c r="F39" s="37">
        <v>1117043.1100000001</v>
      </c>
      <c r="G39" s="37">
        <v>0</v>
      </c>
      <c r="H39" s="37">
        <v>0</v>
      </c>
      <c r="I39" s="12"/>
    </row>
    <row r="40" spans="1:9" ht="157.5" x14ac:dyDescent="0.25">
      <c r="A40" s="30" t="s">
        <v>259</v>
      </c>
      <c r="B40" s="29" t="s">
        <v>4</v>
      </c>
      <c r="C40" s="29" t="s">
        <v>22</v>
      </c>
      <c r="D40" s="29" t="s">
        <v>260</v>
      </c>
      <c r="E40" s="29" t="s">
        <v>8</v>
      </c>
      <c r="F40" s="34">
        <f>360000+108720</f>
        <v>468720</v>
      </c>
      <c r="G40" s="34">
        <f>360000+108720</f>
        <v>468720</v>
      </c>
      <c r="H40" s="34">
        <f>360000+108720</f>
        <v>468720</v>
      </c>
      <c r="I40" s="12"/>
    </row>
    <row r="41" spans="1:9" ht="137.25" customHeight="1" x14ac:dyDescent="0.25">
      <c r="A41" s="31" t="s">
        <v>258</v>
      </c>
      <c r="B41" s="10" t="s">
        <v>4</v>
      </c>
      <c r="C41" s="10" t="s">
        <v>22</v>
      </c>
      <c r="D41" s="33" t="s">
        <v>257</v>
      </c>
      <c r="E41" s="33" t="s">
        <v>8</v>
      </c>
      <c r="F41" s="37">
        <v>1865967.18</v>
      </c>
      <c r="G41" s="37">
        <v>1865967.18</v>
      </c>
      <c r="H41" s="37">
        <v>1865967.18</v>
      </c>
      <c r="I41" s="12"/>
    </row>
    <row r="42" spans="1:9" ht="195.75" customHeight="1" x14ac:dyDescent="0.25">
      <c r="A42" s="15" t="s">
        <v>207</v>
      </c>
      <c r="B42" s="11" t="s">
        <v>4</v>
      </c>
      <c r="C42" s="11" t="s">
        <v>22</v>
      </c>
      <c r="D42" s="29" t="s">
        <v>253</v>
      </c>
      <c r="E42" s="29" t="s">
        <v>8</v>
      </c>
      <c r="F42" s="34">
        <v>14217840</v>
      </c>
      <c r="G42" s="34">
        <v>14061600</v>
      </c>
      <c r="H42" s="34">
        <v>13905360</v>
      </c>
      <c r="I42" s="12" t="s">
        <v>250</v>
      </c>
    </row>
    <row r="43" spans="1:9" ht="47.25" x14ac:dyDescent="0.25">
      <c r="A43" s="18" t="s">
        <v>34</v>
      </c>
      <c r="B43" s="10" t="s">
        <v>4</v>
      </c>
      <c r="C43" s="10" t="s">
        <v>22</v>
      </c>
      <c r="D43" s="33" t="s">
        <v>35</v>
      </c>
      <c r="E43" s="33" t="s">
        <v>10</v>
      </c>
      <c r="F43" s="37">
        <v>138300</v>
      </c>
      <c r="G43" s="37">
        <v>138300</v>
      </c>
      <c r="H43" s="37">
        <v>138300</v>
      </c>
      <c r="I43" s="12"/>
    </row>
    <row r="44" spans="1:9" ht="31.5" x14ac:dyDescent="0.25">
      <c r="A44" s="18" t="s">
        <v>20</v>
      </c>
      <c r="B44" s="10" t="s">
        <v>4</v>
      </c>
      <c r="C44" s="10" t="s">
        <v>22</v>
      </c>
      <c r="D44" s="33" t="s">
        <v>21</v>
      </c>
      <c r="E44" s="33" t="s">
        <v>10</v>
      </c>
      <c r="F44" s="37">
        <f>1025200-157300</f>
        <v>867900</v>
      </c>
      <c r="G44" s="37">
        <f t="shared" ref="G44:H44" si="9">1025200</f>
        <v>1025200</v>
      </c>
      <c r="H44" s="37">
        <f t="shared" si="9"/>
        <v>1025200</v>
      </c>
      <c r="I44" s="12"/>
    </row>
    <row r="45" spans="1:9" ht="58.5" customHeight="1" x14ac:dyDescent="0.25">
      <c r="A45" s="31" t="s">
        <v>190</v>
      </c>
      <c r="B45" s="10" t="s">
        <v>4</v>
      </c>
      <c r="C45" s="10" t="s">
        <v>36</v>
      </c>
      <c r="D45" s="33" t="s">
        <v>189</v>
      </c>
      <c r="E45" s="33" t="s">
        <v>30</v>
      </c>
      <c r="F45" s="37">
        <f>6393708.16+94600+94600+94600+413011.28</f>
        <v>7090519.4400000004</v>
      </c>
      <c r="G45" s="37">
        <v>7416324.5199999996</v>
      </c>
      <c r="H45" s="37">
        <v>7712849.6100000003</v>
      </c>
      <c r="I45" s="12"/>
    </row>
    <row r="46" spans="1:9" ht="47.25" x14ac:dyDescent="0.25">
      <c r="A46" s="31" t="s">
        <v>191</v>
      </c>
      <c r="B46" s="10" t="s">
        <v>4</v>
      </c>
      <c r="C46" s="10" t="s">
        <v>36</v>
      </c>
      <c r="D46" s="33" t="s">
        <v>189</v>
      </c>
      <c r="E46" s="33" t="s">
        <v>12</v>
      </c>
      <c r="F46" s="37">
        <f>86967.2+84346.96</f>
        <v>171314.16</v>
      </c>
      <c r="G46" s="37">
        <v>167589.07999999999</v>
      </c>
      <c r="H46" s="37">
        <v>193143.99</v>
      </c>
      <c r="I46" s="12"/>
    </row>
    <row r="47" spans="1:9" ht="47.25" x14ac:dyDescent="0.25">
      <c r="A47" s="18" t="s">
        <v>145</v>
      </c>
      <c r="B47" s="10" t="s">
        <v>4</v>
      </c>
      <c r="C47" s="10" t="s">
        <v>36</v>
      </c>
      <c r="D47" s="33" t="s">
        <v>37</v>
      </c>
      <c r="E47" s="33" t="s">
        <v>30</v>
      </c>
      <c r="F47" s="37">
        <f>250000+6562323.04+48632.24</f>
        <v>6860955.2800000003</v>
      </c>
      <c r="G47" s="37">
        <f t="shared" ref="G47:H47" si="10">250000+6562323.04</f>
        <v>6812323.04</v>
      </c>
      <c r="H47" s="37">
        <f t="shared" si="10"/>
        <v>6812323.04</v>
      </c>
      <c r="I47" s="12"/>
    </row>
    <row r="48" spans="1:9" ht="47.25" x14ac:dyDescent="0.25">
      <c r="A48" s="18" t="s">
        <v>222</v>
      </c>
      <c r="B48" s="10" t="s">
        <v>4</v>
      </c>
      <c r="C48" s="10" t="s">
        <v>36</v>
      </c>
      <c r="D48" s="33" t="s">
        <v>233</v>
      </c>
      <c r="E48" s="33" t="s">
        <v>30</v>
      </c>
      <c r="F48" s="37">
        <f>300000+16000</f>
        <v>316000</v>
      </c>
      <c r="G48" s="37">
        <v>0</v>
      </c>
      <c r="H48" s="37">
        <v>0</v>
      </c>
      <c r="I48" s="12"/>
    </row>
    <row r="49" spans="1:9" ht="47.25" x14ac:dyDescent="0.25">
      <c r="A49" s="54" t="s">
        <v>41</v>
      </c>
      <c r="B49" s="11" t="s">
        <v>4</v>
      </c>
      <c r="C49" s="11" t="s">
        <v>42</v>
      </c>
      <c r="D49" s="29" t="s">
        <v>24</v>
      </c>
      <c r="E49" s="29" t="s">
        <v>30</v>
      </c>
      <c r="F49" s="34">
        <f>16515499.67+3189840</f>
        <v>19705339.670000002</v>
      </c>
      <c r="G49" s="34">
        <f>15989952.52</f>
        <v>15989952.52</v>
      </c>
      <c r="H49" s="34">
        <f>15989952.52</f>
        <v>15989952.52</v>
      </c>
      <c r="I49" s="12"/>
    </row>
    <row r="50" spans="1:9" ht="63" x14ac:dyDescent="0.25">
      <c r="A50" s="16" t="s">
        <v>228</v>
      </c>
      <c r="B50" s="11" t="s">
        <v>4</v>
      </c>
      <c r="C50" s="11" t="s">
        <v>42</v>
      </c>
      <c r="D50" s="29" t="s">
        <v>44</v>
      </c>
      <c r="E50" s="29" t="s">
        <v>8</v>
      </c>
      <c r="F50" s="34">
        <v>15000</v>
      </c>
      <c r="G50" s="34">
        <f>15000</f>
        <v>15000</v>
      </c>
      <c r="H50" s="34">
        <f>15000</f>
        <v>15000</v>
      </c>
      <c r="I50" s="12"/>
    </row>
    <row r="51" spans="1:9" ht="31.5" x14ac:dyDescent="0.25">
      <c r="A51" s="16" t="s">
        <v>43</v>
      </c>
      <c r="B51" s="11" t="s">
        <v>4</v>
      </c>
      <c r="C51" s="11" t="s">
        <v>42</v>
      </c>
      <c r="D51" s="29" t="s">
        <v>44</v>
      </c>
      <c r="E51" s="29" t="s">
        <v>10</v>
      </c>
      <c r="F51" s="34">
        <f>222930</f>
        <v>222930</v>
      </c>
      <c r="G51" s="34">
        <f t="shared" ref="G51:H51" si="11">222930</f>
        <v>222930</v>
      </c>
      <c r="H51" s="34">
        <f t="shared" si="11"/>
        <v>222930</v>
      </c>
      <c r="I51" s="12"/>
    </row>
    <row r="52" spans="1:9" ht="31.5" x14ac:dyDescent="0.25">
      <c r="A52" s="16" t="s">
        <v>45</v>
      </c>
      <c r="B52" s="11" t="s">
        <v>4</v>
      </c>
      <c r="C52" s="11" t="s">
        <v>42</v>
      </c>
      <c r="D52" s="29" t="s">
        <v>44</v>
      </c>
      <c r="E52" s="29" t="s">
        <v>46</v>
      </c>
      <c r="F52" s="34">
        <f>62070</f>
        <v>62070</v>
      </c>
      <c r="G52" s="34">
        <f>62070</f>
        <v>62070</v>
      </c>
      <c r="H52" s="34">
        <f>62070</f>
        <v>62070</v>
      </c>
      <c r="I52" s="12"/>
    </row>
    <row r="53" spans="1:9" ht="63" x14ac:dyDescent="0.25">
      <c r="A53" s="16" t="s">
        <v>32</v>
      </c>
      <c r="B53" s="11" t="s">
        <v>4</v>
      </c>
      <c r="C53" s="11" t="s">
        <v>42</v>
      </c>
      <c r="D53" s="29" t="s">
        <v>33</v>
      </c>
      <c r="E53" s="29" t="s">
        <v>8</v>
      </c>
      <c r="F53" s="34">
        <f>130000+39260</f>
        <v>169260</v>
      </c>
      <c r="G53" s="34">
        <f>130000+39260</f>
        <v>169260</v>
      </c>
      <c r="H53" s="34">
        <f>130000+39260</f>
        <v>169260</v>
      </c>
      <c r="I53" s="12"/>
    </row>
    <row r="54" spans="1:9" ht="36" customHeight="1" x14ac:dyDescent="0.25">
      <c r="A54" s="16" t="s">
        <v>47</v>
      </c>
      <c r="B54" s="11" t="s">
        <v>4</v>
      </c>
      <c r="C54" s="11" t="s">
        <v>42</v>
      </c>
      <c r="D54" s="29" t="s">
        <v>33</v>
      </c>
      <c r="E54" s="29" t="s">
        <v>10</v>
      </c>
      <c r="F54" s="34">
        <f>2740</f>
        <v>2740</v>
      </c>
      <c r="G54" s="34">
        <v>2740</v>
      </c>
      <c r="H54" s="34">
        <v>2740</v>
      </c>
      <c r="I54" s="12"/>
    </row>
    <row r="55" spans="1:9" ht="70.5" customHeight="1" x14ac:dyDescent="0.25">
      <c r="A55" s="17" t="s">
        <v>187</v>
      </c>
      <c r="B55" s="11" t="s">
        <v>4</v>
      </c>
      <c r="C55" s="11" t="s">
        <v>42</v>
      </c>
      <c r="D55" s="29" t="s">
        <v>38</v>
      </c>
      <c r="E55" s="29" t="s">
        <v>8</v>
      </c>
      <c r="F55" s="34">
        <f>241395+73046</f>
        <v>314441</v>
      </c>
      <c r="G55" s="34">
        <f t="shared" ref="G55:H55" si="12">241395+73046</f>
        <v>314441</v>
      </c>
      <c r="H55" s="34">
        <f t="shared" si="12"/>
        <v>314441</v>
      </c>
      <c r="I55" s="12"/>
    </row>
    <row r="56" spans="1:9" ht="82.5" customHeight="1" x14ac:dyDescent="0.25">
      <c r="A56" s="17" t="s">
        <v>270</v>
      </c>
      <c r="B56" s="11" t="s">
        <v>4</v>
      </c>
      <c r="C56" s="11" t="s">
        <v>42</v>
      </c>
      <c r="D56" s="29" t="s">
        <v>40</v>
      </c>
      <c r="E56" s="29" t="s">
        <v>30</v>
      </c>
      <c r="F56" s="34">
        <v>68040</v>
      </c>
      <c r="G56" s="34">
        <v>68040</v>
      </c>
      <c r="H56" s="34">
        <v>68040</v>
      </c>
      <c r="I56" s="12"/>
    </row>
    <row r="57" spans="1:9" ht="54.75" customHeight="1" x14ac:dyDescent="0.25">
      <c r="A57" s="17" t="s">
        <v>225</v>
      </c>
      <c r="B57" s="11" t="s">
        <v>4</v>
      </c>
      <c r="C57" s="11" t="s">
        <v>42</v>
      </c>
      <c r="D57" s="29" t="s">
        <v>39</v>
      </c>
      <c r="E57" s="29" t="s">
        <v>30</v>
      </c>
      <c r="F57" s="34">
        <f>850500+551124</f>
        <v>1401624</v>
      </c>
      <c r="G57" s="34">
        <f>850500+551124</f>
        <v>1401624</v>
      </c>
      <c r="H57" s="34">
        <f>850500+551124</f>
        <v>1401624</v>
      </c>
      <c r="I57" s="12"/>
    </row>
    <row r="58" spans="1:9" ht="33.75" customHeight="1" x14ac:dyDescent="0.25">
      <c r="A58" s="16" t="s">
        <v>20</v>
      </c>
      <c r="B58" s="11" t="s">
        <v>4</v>
      </c>
      <c r="C58" s="11" t="s">
        <v>42</v>
      </c>
      <c r="D58" s="29" t="s">
        <v>21</v>
      </c>
      <c r="E58" s="29" t="s">
        <v>10</v>
      </c>
      <c r="F58" s="34">
        <v>35040</v>
      </c>
      <c r="G58" s="34">
        <v>35040</v>
      </c>
      <c r="H58" s="34">
        <v>35040</v>
      </c>
      <c r="I58" s="12"/>
    </row>
    <row r="59" spans="1:9" ht="81" customHeight="1" x14ac:dyDescent="0.25">
      <c r="A59" s="17" t="s">
        <v>49</v>
      </c>
      <c r="B59" s="11" t="s">
        <v>4</v>
      </c>
      <c r="C59" s="11" t="s">
        <v>42</v>
      </c>
      <c r="D59" s="29" t="s">
        <v>50</v>
      </c>
      <c r="E59" s="29" t="s">
        <v>8</v>
      </c>
      <c r="F59" s="34">
        <f>14390306.4+4345872.53+2409275.69+727601.26+296128+89432-159204.38</f>
        <v>22099411.500000004</v>
      </c>
      <c r="G59" s="34">
        <f t="shared" ref="G59:H59" si="13">14390306.4+4345872.53+2409275.69+727601.26</f>
        <v>21873055.880000003</v>
      </c>
      <c r="H59" s="34">
        <f t="shared" si="13"/>
        <v>21873055.880000003</v>
      </c>
      <c r="I59" s="12"/>
    </row>
    <row r="60" spans="1:9" ht="51.75" customHeight="1" x14ac:dyDescent="0.25">
      <c r="A60" s="17" t="s">
        <v>51</v>
      </c>
      <c r="B60" s="11" t="s">
        <v>4</v>
      </c>
      <c r="C60" s="11" t="s">
        <v>42</v>
      </c>
      <c r="D60" s="29" t="s">
        <v>50</v>
      </c>
      <c r="E60" s="29" t="s">
        <v>10</v>
      </c>
      <c r="F60" s="34">
        <f>1826548.8+720276.84+100000</f>
        <v>2646825.64</v>
      </c>
      <c r="G60" s="34">
        <f>1808548.8+720276.84</f>
        <v>2528825.64</v>
      </c>
      <c r="H60" s="34">
        <f>1808548.8+720276.84</f>
        <v>2528825.64</v>
      </c>
      <c r="I60" s="12"/>
    </row>
    <row r="61" spans="1:9" ht="36" customHeight="1" x14ac:dyDescent="0.25">
      <c r="A61" s="18" t="s">
        <v>52</v>
      </c>
      <c r="B61" s="10" t="s">
        <v>4</v>
      </c>
      <c r="C61" s="10" t="s">
        <v>42</v>
      </c>
      <c r="D61" s="29" t="s">
        <v>50</v>
      </c>
      <c r="E61" s="33" t="s">
        <v>12</v>
      </c>
      <c r="F61" s="37">
        <v>1940</v>
      </c>
      <c r="G61" s="37">
        <v>1940</v>
      </c>
      <c r="H61" s="37">
        <v>1940</v>
      </c>
      <c r="I61" s="12"/>
    </row>
    <row r="62" spans="1:9" ht="293.25" customHeight="1" x14ac:dyDescent="0.25">
      <c r="A62" s="18" t="s">
        <v>210</v>
      </c>
      <c r="B62" s="10" t="s">
        <v>4</v>
      </c>
      <c r="C62" s="10" t="s">
        <v>54</v>
      </c>
      <c r="D62" s="29" t="s">
        <v>209</v>
      </c>
      <c r="E62" s="33" t="s">
        <v>10</v>
      </c>
      <c r="F62" s="37">
        <v>341525.76000000001</v>
      </c>
      <c r="G62" s="37">
        <v>341525.76000000001</v>
      </c>
      <c r="H62" s="37">
        <v>341525.76000000001</v>
      </c>
      <c r="I62" s="12"/>
    </row>
    <row r="63" spans="1:9" ht="81.75" customHeight="1" x14ac:dyDescent="0.25">
      <c r="A63" s="17" t="s">
        <v>53</v>
      </c>
      <c r="B63" s="11" t="s">
        <v>4</v>
      </c>
      <c r="C63" s="11" t="s">
        <v>54</v>
      </c>
      <c r="D63" s="29" t="s">
        <v>55</v>
      </c>
      <c r="E63" s="29" t="s">
        <v>46</v>
      </c>
      <c r="F63" s="37">
        <v>785685.72</v>
      </c>
      <c r="G63" s="37">
        <v>785685.72</v>
      </c>
      <c r="H63" s="37">
        <v>785685.72</v>
      </c>
      <c r="I63" s="12"/>
    </row>
    <row r="64" spans="1:9" ht="81.75" customHeight="1" x14ac:dyDescent="0.25">
      <c r="A64" s="17" t="s">
        <v>239</v>
      </c>
      <c r="B64" s="11" t="s">
        <v>4</v>
      </c>
      <c r="C64" s="11" t="s">
        <v>235</v>
      </c>
      <c r="D64" s="29" t="s">
        <v>238</v>
      </c>
      <c r="E64" s="29" t="s">
        <v>46</v>
      </c>
      <c r="F64" s="37">
        <v>1010000</v>
      </c>
      <c r="G64" s="37">
        <v>1010000</v>
      </c>
      <c r="H64" s="37">
        <v>1010000</v>
      </c>
      <c r="I64" s="12"/>
    </row>
    <row r="65" spans="1:11" ht="81.75" customHeight="1" x14ac:dyDescent="0.25">
      <c r="A65" s="17" t="s">
        <v>239</v>
      </c>
      <c r="B65" s="11" t="s">
        <v>4</v>
      </c>
      <c r="C65" s="11" t="s">
        <v>235</v>
      </c>
      <c r="D65" s="29" t="s">
        <v>240</v>
      </c>
      <c r="E65" s="29" t="s">
        <v>46</v>
      </c>
      <c r="F65" s="37">
        <v>1250000</v>
      </c>
      <c r="G65" s="37">
        <v>1250000</v>
      </c>
      <c r="H65" s="37">
        <v>1250000</v>
      </c>
      <c r="I65" s="12"/>
    </row>
    <row r="66" spans="1:11" ht="81.75" customHeight="1" x14ac:dyDescent="0.25">
      <c r="A66" s="17" t="s">
        <v>239</v>
      </c>
      <c r="B66" s="11" t="s">
        <v>4</v>
      </c>
      <c r="C66" s="11" t="s">
        <v>235</v>
      </c>
      <c r="D66" s="29" t="s">
        <v>241</v>
      </c>
      <c r="E66" s="29" t="s">
        <v>46</v>
      </c>
      <c r="F66" s="37">
        <v>180000</v>
      </c>
      <c r="G66" s="37">
        <v>180000</v>
      </c>
      <c r="H66" s="37">
        <v>180000</v>
      </c>
      <c r="I66" s="12"/>
    </row>
    <row r="67" spans="1:11" ht="47.25" x14ac:dyDescent="0.3">
      <c r="A67" s="17" t="s">
        <v>223</v>
      </c>
      <c r="B67" s="11" t="s">
        <v>4</v>
      </c>
      <c r="C67" s="11" t="s">
        <v>56</v>
      </c>
      <c r="D67" s="29" t="s">
        <v>189</v>
      </c>
      <c r="E67" s="29" t="s">
        <v>30</v>
      </c>
      <c r="F67" s="34">
        <f>1096784.64+74021.76</f>
        <v>1170806.3999999999</v>
      </c>
      <c r="G67" s="34">
        <v>1170606.3999999999</v>
      </c>
      <c r="H67" s="34">
        <v>1170606.3999999999</v>
      </c>
      <c r="I67" s="19"/>
      <c r="J67" s="1"/>
      <c r="K67" s="1"/>
    </row>
    <row r="68" spans="1:11" ht="47.25" x14ac:dyDescent="0.3">
      <c r="A68" s="17" t="s">
        <v>145</v>
      </c>
      <c r="B68" s="11" t="s">
        <v>4</v>
      </c>
      <c r="C68" s="11" t="s">
        <v>56</v>
      </c>
      <c r="D68" s="29" t="s">
        <v>37</v>
      </c>
      <c r="E68" s="29" t="s">
        <v>30</v>
      </c>
      <c r="F68" s="34">
        <f>10377431.68+2566594.78</f>
        <v>12944026.459999999</v>
      </c>
      <c r="G68" s="34">
        <f t="shared" ref="G68:H68" si="14">10377431.68</f>
        <v>10377431.68</v>
      </c>
      <c r="H68" s="34">
        <f t="shared" si="14"/>
        <v>10377431.68</v>
      </c>
      <c r="I68" s="19"/>
      <c r="J68" s="1"/>
      <c r="K68" s="1"/>
    </row>
    <row r="69" spans="1:11" ht="47.25" x14ac:dyDescent="0.3">
      <c r="A69" s="17" t="s">
        <v>188</v>
      </c>
      <c r="B69" s="11" t="s">
        <v>4</v>
      </c>
      <c r="C69" s="11" t="s">
        <v>224</v>
      </c>
      <c r="D69" s="29" t="s">
        <v>57</v>
      </c>
      <c r="E69" s="29" t="s">
        <v>30</v>
      </c>
      <c r="F69" s="34">
        <v>1408404.79</v>
      </c>
      <c r="G69" s="34">
        <v>1408404.79</v>
      </c>
      <c r="H69" s="34">
        <v>1408404.79</v>
      </c>
      <c r="I69" s="19"/>
      <c r="J69" s="1"/>
      <c r="K69" s="1"/>
    </row>
    <row r="70" spans="1:11" ht="47.25" x14ac:dyDescent="0.3">
      <c r="A70" s="17" t="s">
        <v>277</v>
      </c>
      <c r="B70" s="11" t="s">
        <v>4</v>
      </c>
      <c r="C70" s="11" t="s">
        <v>275</v>
      </c>
      <c r="D70" s="29" t="s">
        <v>276</v>
      </c>
      <c r="E70" s="29" t="s">
        <v>30</v>
      </c>
      <c r="F70" s="34">
        <f>1947433.5+102496.5</f>
        <v>2049930</v>
      </c>
      <c r="G70" s="34">
        <v>0</v>
      </c>
      <c r="H70" s="34">
        <v>0</v>
      </c>
      <c r="I70" s="52"/>
      <c r="J70" s="1"/>
      <c r="K70" s="1"/>
    </row>
    <row r="71" spans="1:11" ht="31.5" x14ac:dyDescent="0.25">
      <c r="A71" s="53" t="s">
        <v>58</v>
      </c>
      <c r="B71" s="25" t="s">
        <v>59</v>
      </c>
      <c r="C71" s="25"/>
      <c r="D71" s="25"/>
      <c r="E71" s="25"/>
      <c r="F71" s="8">
        <f>SUM(F72:F78)</f>
        <v>18840119</v>
      </c>
      <c r="G71" s="8">
        <f t="shared" ref="G71:H71" si="15">SUM(G72:G78)</f>
        <v>19355418.559999999</v>
      </c>
      <c r="H71" s="8">
        <f t="shared" si="15"/>
        <v>19374416.699999999</v>
      </c>
      <c r="I71" s="20"/>
      <c r="J71" s="2"/>
      <c r="K71" s="2"/>
    </row>
    <row r="72" spans="1:11" ht="31.5" x14ac:dyDescent="0.25">
      <c r="A72" s="46" t="s">
        <v>67</v>
      </c>
      <c r="B72" s="29" t="s">
        <v>59</v>
      </c>
      <c r="C72" s="29" t="s">
        <v>61</v>
      </c>
      <c r="D72" s="29" t="s">
        <v>68</v>
      </c>
      <c r="E72" s="29" t="s">
        <v>10</v>
      </c>
      <c r="F72" s="34">
        <f>1230570-1230570+60000</f>
        <v>60000</v>
      </c>
      <c r="G72" s="34">
        <f>1292100-1292100+65000</f>
        <v>65000</v>
      </c>
      <c r="H72" s="34">
        <f>1347600-1347600+70000</f>
        <v>70000</v>
      </c>
      <c r="I72" s="12"/>
    </row>
    <row r="73" spans="1:11" ht="31.5" x14ac:dyDescent="0.25">
      <c r="A73" s="46" t="s">
        <v>69</v>
      </c>
      <c r="B73" s="29" t="s">
        <v>59</v>
      </c>
      <c r="C73" s="35" t="s">
        <v>61</v>
      </c>
      <c r="D73" s="29" t="s">
        <v>70</v>
      </c>
      <c r="E73" s="29" t="s">
        <v>10</v>
      </c>
      <c r="F73" s="34">
        <v>60500</v>
      </c>
      <c r="G73" s="34">
        <v>63500</v>
      </c>
      <c r="H73" s="34">
        <v>66200</v>
      </c>
      <c r="I73" s="12"/>
    </row>
    <row r="74" spans="1:11" ht="63" x14ac:dyDescent="0.25">
      <c r="A74" s="55" t="s">
        <v>60</v>
      </c>
      <c r="B74" s="32" t="s">
        <v>59</v>
      </c>
      <c r="C74" s="36" t="s">
        <v>61</v>
      </c>
      <c r="D74" s="36" t="s">
        <v>62</v>
      </c>
      <c r="E74" s="36" t="s">
        <v>8</v>
      </c>
      <c r="F74" s="64">
        <f>13500271+10800+4077082</f>
        <v>17588153</v>
      </c>
      <c r="G74" s="64">
        <f>14497666+10800+4378295</f>
        <v>18886761</v>
      </c>
      <c r="H74" s="64">
        <f>14497666+10800+4378295</f>
        <v>18886761</v>
      </c>
      <c r="I74" s="12"/>
    </row>
    <row r="75" spans="1:11" ht="31.5" x14ac:dyDescent="0.25">
      <c r="A75" s="56" t="s">
        <v>63</v>
      </c>
      <c r="B75" s="32" t="s">
        <v>59</v>
      </c>
      <c r="C75" s="36" t="s">
        <v>61</v>
      </c>
      <c r="D75" s="36" t="s">
        <v>62</v>
      </c>
      <c r="E75" s="36" t="s">
        <v>10</v>
      </c>
      <c r="F75" s="34">
        <f>268581+130060-130060-14516</f>
        <v>254065</v>
      </c>
      <c r="G75" s="34">
        <f>280398.56+135782.64-135782.64-15241</f>
        <v>265157.56</v>
      </c>
      <c r="H75" s="34">
        <f>292455.7+141621.29-141621.29-16000</f>
        <v>276455.69999999995</v>
      </c>
      <c r="I75" s="12"/>
    </row>
    <row r="76" spans="1:11" ht="31.5" x14ac:dyDescent="0.25">
      <c r="A76" s="50" t="s">
        <v>64</v>
      </c>
      <c r="B76" s="33" t="s">
        <v>59</v>
      </c>
      <c r="C76" s="35" t="s">
        <v>61</v>
      </c>
      <c r="D76" s="36" t="s">
        <v>62</v>
      </c>
      <c r="E76" s="33" t="s">
        <v>12</v>
      </c>
      <c r="F76" s="37">
        <v>1000</v>
      </c>
      <c r="G76" s="37">
        <v>1000</v>
      </c>
      <c r="H76" s="37">
        <v>1000</v>
      </c>
      <c r="I76" s="12"/>
    </row>
    <row r="77" spans="1:11" ht="77.25" customHeight="1" x14ac:dyDescent="0.25">
      <c r="A77" s="50" t="s">
        <v>65</v>
      </c>
      <c r="B77" s="33" t="s">
        <v>59</v>
      </c>
      <c r="C77" s="35" t="s">
        <v>61</v>
      </c>
      <c r="D77" s="36" t="s">
        <v>66</v>
      </c>
      <c r="E77" s="33" t="s">
        <v>8</v>
      </c>
      <c r="F77" s="37">
        <v>802401</v>
      </c>
      <c r="G77" s="37">
        <v>0</v>
      </c>
      <c r="H77" s="37">
        <v>0</v>
      </c>
      <c r="I77" s="12"/>
    </row>
    <row r="78" spans="1:11" ht="47.25" x14ac:dyDescent="0.25">
      <c r="A78" s="46" t="s">
        <v>71</v>
      </c>
      <c r="B78" s="29" t="s">
        <v>59</v>
      </c>
      <c r="C78" s="35" t="s">
        <v>72</v>
      </c>
      <c r="D78" s="29" t="s">
        <v>73</v>
      </c>
      <c r="E78" s="29" t="s">
        <v>10</v>
      </c>
      <c r="F78" s="34">
        <v>74000</v>
      </c>
      <c r="G78" s="34">
        <v>74000</v>
      </c>
      <c r="H78" s="34">
        <v>74000</v>
      </c>
      <c r="I78" s="12"/>
    </row>
    <row r="79" spans="1:11" ht="15.75" x14ac:dyDescent="0.25">
      <c r="A79" s="53" t="s">
        <v>74</v>
      </c>
      <c r="B79" s="7" t="s">
        <v>75</v>
      </c>
      <c r="C79" s="7"/>
      <c r="D79" s="7"/>
      <c r="E79" s="7"/>
      <c r="F79" s="8">
        <f>SUM(F80:F82)</f>
        <v>1831047</v>
      </c>
      <c r="G79" s="8">
        <f>SUM(G80:G82)</f>
        <v>1823672</v>
      </c>
      <c r="H79" s="8">
        <f>SUM(H80:H82)</f>
        <v>1823672</v>
      </c>
      <c r="I79" s="12"/>
    </row>
    <row r="80" spans="1:11" ht="94.5" x14ac:dyDescent="0.25">
      <c r="A80" s="50" t="s">
        <v>76</v>
      </c>
      <c r="B80" s="33" t="s">
        <v>75</v>
      </c>
      <c r="C80" s="33" t="s">
        <v>77</v>
      </c>
      <c r="D80" s="38" t="s">
        <v>78</v>
      </c>
      <c r="E80" s="33" t="s">
        <v>8</v>
      </c>
      <c r="F80" s="37">
        <v>109549</v>
      </c>
      <c r="G80" s="37">
        <v>0</v>
      </c>
      <c r="H80" s="37">
        <v>0</v>
      </c>
      <c r="I80" s="12"/>
    </row>
    <row r="81" spans="1:9" ht="78.75" x14ac:dyDescent="0.25">
      <c r="A81" s="46" t="s">
        <v>79</v>
      </c>
      <c r="B81" s="29" t="s">
        <v>75</v>
      </c>
      <c r="C81" s="29" t="s">
        <v>77</v>
      </c>
      <c r="D81" s="39" t="s">
        <v>80</v>
      </c>
      <c r="E81" s="29" t="s">
        <v>8</v>
      </c>
      <c r="F81" s="34">
        <f>1059522+319976</f>
        <v>1379498</v>
      </c>
      <c r="G81" s="34">
        <f>1137997+343675</f>
        <v>1481672</v>
      </c>
      <c r="H81" s="34">
        <f>1137997+343675</f>
        <v>1481672</v>
      </c>
      <c r="I81" s="12"/>
    </row>
    <row r="82" spans="1:9" ht="78.75" x14ac:dyDescent="0.25">
      <c r="A82" s="50" t="s">
        <v>81</v>
      </c>
      <c r="B82" s="33" t="s">
        <v>75</v>
      </c>
      <c r="C82" s="33" t="s">
        <v>77</v>
      </c>
      <c r="D82" s="38" t="s">
        <v>82</v>
      </c>
      <c r="E82" s="33" t="s">
        <v>8</v>
      </c>
      <c r="F82" s="37">
        <v>342000</v>
      </c>
      <c r="G82" s="37">
        <v>342000</v>
      </c>
      <c r="H82" s="37">
        <v>342000</v>
      </c>
      <c r="I82" s="12"/>
    </row>
    <row r="83" spans="1:9" ht="15.75" x14ac:dyDescent="0.25">
      <c r="A83" s="57" t="s">
        <v>83</v>
      </c>
      <c r="B83" s="26" t="s">
        <v>84</v>
      </c>
      <c r="C83" s="26"/>
      <c r="D83" s="26"/>
      <c r="E83" s="26"/>
      <c r="F83" s="27">
        <f>SUM(F84:F156)</f>
        <v>143333547.65000001</v>
      </c>
      <c r="G83" s="27">
        <f>SUM(G84:G156)</f>
        <v>110054183.41</v>
      </c>
      <c r="H83" s="27">
        <f>SUM(H84:H156)</f>
        <v>109370321.60999997</v>
      </c>
      <c r="I83" s="12"/>
    </row>
    <row r="84" spans="1:9" ht="68.25" customHeight="1" x14ac:dyDescent="0.25">
      <c r="A84" s="46" t="s">
        <v>85</v>
      </c>
      <c r="B84" s="29" t="s">
        <v>84</v>
      </c>
      <c r="C84" s="29" t="s">
        <v>86</v>
      </c>
      <c r="D84" s="39" t="s">
        <v>87</v>
      </c>
      <c r="E84" s="29" t="s">
        <v>8</v>
      </c>
      <c r="F84" s="34">
        <f>2084934.5+629650.22</f>
        <v>2714584.7199999997</v>
      </c>
      <c r="G84" s="34">
        <f>2247685+678800.87</f>
        <v>2926485.87</v>
      </c>
      <c r="H84" s="34">
        <f>2247685+678800.87</f>
        <v>2926485.87</v>
      </c>
      <c r="I84" s="12"/>
    </row>
    <row r="85" spans="1:9" ht="78.75" hidden="1" x14ac:dyDescent="0.25">
      <c r="A85" s="30" t="s">
        <v>243</v>
      </c>
      <c r="B85" s="32" t="s">
        <v>84</v>
      </c>
      <c r="C85" s="32" t="s">
        <v>86</v>
      </c>
      <c r="D85" s="40" t="s">
        <v>244</v>
      </c>
      <c r="E85" s="32" t="s">
        <v>8</v>
      </c>
      <c r="F85" s="41">
        <v>0</v>
      </c>
      <c r="G85" s="41">
        <v>0</v>
      </c>
      <c r="H85" s="41">
        <v>0</v>
      </c>
      <c r="I85" s="12"/>
    </row>
    <row r="86" spans="1:9" ht="64.5" customHeight="1" x14ac:dyDescent="0.25">
      <c r="A86" s="30" t="s">
        <v>60</v>
      </c>
      <c r="B86" s="32" t="s">
        <v>84</v>
      </c>
      <c r="C86" s="32" t="s">
        <v>88</v>
      </c>
      <c r="D86" s="32" t="s">
        <v>62</v>
      </c>
      <c r="E86" s="32" t="s">
        <v>8</v>
      </c>
      <c r="F86" s="41">
        <f>37022854.65+29000+11180902.1</f>
        <v>48232756.75</v>
      </c>
      <c r="G86" s="41">
        <f>39297282+29000+11867779.16</f>
        <v>51194061.159999996</v>
      </c>
      <c r="H86" s="41">
        <f>39297282+29000+11867779.16</f>
        <v>51194061.159999996</v>
      </c>
      <c r="I86" s="12"/>
    </row>
    <row r="87" spans="1:9" ht="31.5" x14ac:dyDescent="0.25">
      <c r="A87" s="46" t="s">
        <v>63</v>
      </c>
      <c r="B87" s="29" t="s">
        <v>84</v>
      </c>
      <c r="C87" s="29" t="s">
        <v>88</v>
      </c>
      <c r="D87" s="32" t="s">
        <v>62</v>
      </c>
      <c r="E87" s="29" t="s">
        <v>10</v>
      </c>
      <c r="F87" s="34">
        <v>170000</v>
      </c>
      <c r="G87" s="34">
        <v>170000</v>
      </c>
      <c r="H87" s="34">
        <v>170000</v>
      </c>
      <c r="I87" s="12"/>
    </row>
    <row r="88" spans="1:9" ht="31.5" x14ac:dyDescent="0.25">
      <c r="A88" s="46" t="s">
        <v>64</v>
      </c>
      <c r="B88" s="29" t="s">
        <v>84</v>
      </c>
      <c r="C88" s="29" t="s">
        <v>88</v>
      </c>
      <c r="D88" s="32" t="s">
        <v>62</v>
      </c>
      <c r="E88" s="29" t="s">
        <v>12</v>
      </c>
      <c r="F88" s="34">
        <v>16000</v>
      </c>
      <c r="G88" s="34">
        <v>16000</v>
      </c>
      <c r="H88" s="34">
        <v>16000</v>
      </c>
      <c r="I88" s="12"/>
    </row>
    <row r="89" spans="1:9" ht="83.25" customHeight="1" x14ac:dyDescent="0.25">
      <c r="A89" s="17" t="s">
        <v>65</v>
      </c>
      <c r="B89" s="11" t="s">
        <v>84</v>
      </c>
      <c r="C89" s="11" t="s">
        <v>88</v>
      </c>
      <c r="D89" s="13" t="s">
        <v>66</v>
      </c>
      <c r="E89" s="11" t="s">
        <v>8</v>
      </c>
      <c r="F89" s="34">
        <v>199707.65</v>
      </c>
      <c r="G89" s="14">
        <v>0</v>
      </c>
      <c r="H89" s="14">
        <v>0</v>
      </c>
      <c r="I89" s="12"/>
    </row>
    <row r="90" spans="1:9" ht="78.75" x14ac:dyDescent="0.25">
      <c r="A90" s="17" t="s">
        <v>164</v>
      </c>
      <c r="B90" s="11" t="s">
        <v>84</v>
      </c>
      <c r="C90" s="11" t="s">
        <v>88</v>
      </c>
      <c r="D90" s="39" t="s">
        <v>89</v>
      </c>
      <c r="E90" s="29" t="s">
        <v>8</v>
      </c>
      <c r="F90" s="34">
        <v>828552.49</v>
      </c>
      <c r="G90" s="34">
        <v>869715.75</v>
      </c>
      <c r="H90" s="34">
        <v>869715.75</v>
      </c>
      <c r="I90" s="12"/>
    </row>
    <row r="91" spans="1:9" ht="63" x14ac:dyDescent="0.25">
      <c r="A91" s="17" t="s">
        <v>168</v>
      </c>
      <c r="B91" s="11" t="s">
        <v>84</v>
      </c>
      <c r="C91" s="11" t="s">
        <v>90</v>
      </c>
      <c r="D91" s="39" t="s">
        <v>91</v>
      </c>
      <c r="E91" s="29" t="s">
        <v>10</v>
      </c>
      <c r="F91" s="34">
        <v>69843.87</v>
      </c>
      <c r="G91" s="34">
        <v>34466.769999999997</v>
      </c>
      <c r="H91" s="34">
        <v>37151.050000000003</v>
      </c>
      <c r="I91" s="12"/>
    </row>
    <row r="92" spans="1:9" ht="31.5" x14ac:dyDescent="0.25">
      <c r="A92" s="46" t="s">
        <v>92</v>
      </c>
      <c r="B92" s="29" t="s">
        <v>84</v>
      </c>
      <c r="C92" s="29" t="s">
        <v>93</v>
      </c>
      <c r="D92" s="42" t="s">
        <v>94</v>
      </c>
      <c r="E92" s="29" t="s">
        <v>12</v>
      </c>
      <c r="F92" s="34">
        <v>500000</v>
      </c>
      <c r="G92" s="34">
        <v>500000</v>
      </c>
      <c r="H92" s="34">
        <v>500000</v>
      </c>
      <c r="I92" s="12"/>
    </row>
    <row r="93" spans="1:9" ht="47.25" x14ac:dyDescent="0.25">
      <c r="A93" s="46" t="s">
        <v>95</v>
      </c>
      <c r="B93" s="29" t="s">
        <v>84</v>
      </c>
      <c r="C93" s="29" t="s">
        <v>96</v>
      </c>
      <c r="D93" s="29" t="s">
        <v>97</v>
      </c>
      <c r="E93" s="29" t="s">
        <v>10</v>
      </c>
      <c r="F93" s="34">
        <v>20000</v>
      </c>
      <c r="G93" s="34">
        <v>20000</v>
      </c>
      <c r="H93" s="34">
        <v>20000</v>
      </c>
      <c r="I93" s="12"/>
    </row>
    <row r="94" spans="1:9" ht="31.5" x14ac:dyDescent="0.25">
      <c r="A94" s="46" t="s">
        <v>98</v>
      </c>
      <c r="B94" s="29" t="s">
        <v>84</v>
      </c>
      <c r="C94" s="29" t="s">
        <v>96</v>
      </c>
      <c r="D94" s="29" t="s">
        <v>99</v>
      </c>
      <c r="E94" s="29" t="s">
        <v>10</v>
      </c>
      <c r="F94" s="34">
        <v>705000</v>
      </c>
      <c r="G94" s="34">
        <v>705000</v>
      </c>
      <c r="H94" s="34">
        <v>705000</v>
      </c>
      <c r="I94" s="12"/>
    </row>
    <row r="95" spans="1:9" ht="63" x14ac:dyDescent="0.25">
      <c r="A95" s="46" t="s">
        <v>100</v>
      </c>
      <c r="B95" s="29" t="s">
        <v>84</v>
      </c>
      <c r="C95" s="29" t="s">
        <v>96</v>
      </c>
      <c r="D95" s="29" t="s">
        <v>101</v>
      </c>
      <c r="E95" s="29" t="s">
        <v>10</v>
      </c>
      <c r="F95" s="34">
        <v>36000</v>
      </c>
      <c r="G95" s="34">
        <v>36000</v>
      </c>
      <c r="H95" s="34">
        <v>36000</v>
      </c>
      <c r="I95" s="12"/>
    </row>
    <row r="96" spans="1:9" ht="37.5" customHeight="1" x14ac:dyDescent="0.25">
      <c r="A96" s="48" t="s">
        <v>217</v>
      </c>
      <c r="B96" s="29" t="s">
        <v>84</v>
      </c>
      <c r="C96" s="29" t="s">
        <v>96</v>
      </c>
      <c r="D96" s="29" t="s">
        <v>215</v>
      </c>
      <c r="E96" s="29" t="s">
        <v>10</v>
      </c>
      <c r="F96" s="43">
        <v>300000</v>
      </c>
      <c r="G96" s="43">
        <v>100000</v>
      </c>
      <c r="H96" s="43">
        <v>100000</v>
      </c>
      <c r="I96" s="12"/>
    </row>
    <row r="97" spans="1:11" ht="51" customHeight="1" x14ac:dyDescent="0.25">
      <c r="A97" s="48" t="s">
        <v>218</v>
      </c>
      <c r="B97" s="29" t="s">
        <v>84</v>
      </c>
      <c r="C97" s="29" t="s">
        <v>96</v>
      </c>
      <c r="D97" s="29" t="s">
        <v>214</v>
      </c>
      <c r="E97" s="29" t="s">
        <v>10</v>
      </c>
      <c r="F97" s="43">
        <v>355000</v>
      </c>
      <c r="G97" s="43">
        <v>355000</v>
      </c>
      <c r="H97" s="43">
        <v>355000</v>
      </c>
      <c r="I97" s="12"/>
    </row>
    <row r="98" spans="1:11" ht="47.25" x14ac:dyDescent="0.25">
      <c r="A98" s="48" t="s">
        <v>102</v>
      </c>
      <c r="B98" s="29" t="s">
        <v>84</v>
      </c>
      <c r="C98" s="29" t="s">
        <v>96</v>
      </c>
      <c r="D98" s="29" t="s">
        <v>103</v>
      </c>
      <c r="E98" s="29" t="s">
        <v>10</v>
      </c>
      <c r="F98" s="43">
        <v>200000</v>
      </c>
      <c r="G98" s="43">
        <v>100000</v>
      </c>
      <c r="H98" s="43">
        <v>100000</v>
      </c>
      <c r="I98" s="12"/>
    </row>
    <row r="99" spans="1:11" ht="47.25" x14ac:dyDescent="0.25">
      <c r="A99" s="46" t="s">
        <v>104</v>
      </c>
      <c r="B99" s="29" t="s">
        <v>84</v>
      </c>
      <c r="C99" s="29" t="s">
        <v>96</v>
      </c>
      <c r="D99" s="29" t="s">
        <v>105</v>
      </c>
      <c r="E99" s="29" t="s">
        <v>10</v>
      </c>
      <c r="F99" s="34">
        <v>86251</v>
      </c>
      <c r="G99" s="34">
        <v>94876</v>
      </c>
      <c r="H99" s="34">
        <v>98956</v>
      </c>
      <c r="I99" s="12"/>
    </row>
    <row r="100" spans="1:11" ht="31.5" x14ac:dyDescent="0.25">
      <c r="A100" s="30" t="s">
        <v>69</v>
      </c>
      <c r="B100" s="44" t="s">
        <v>84</v>
      </c>
      <c r="C100" s="44" t="s">
        <v>96</v>
      </c>
      <c r="D100" s="45" t="s">
        <v>70</v>
      </c>
      <c r="E100" s="44" t="s">
        <v>10</v>
      </c>
      <c r="F100" s="43">
        <v>187500</v>
      </c>
      <c r="G100" s="43">
        <v>196927</v>
      </c>
      <c r="H100" s="43">
        <v>205395</v>
      </c>
      <c r="I100" s="12"/>
    </row>
    <row r="101" spans="1:11" ht="63" x14ac:dyDescent="0.25">
      <c r="A101" s="15" t="s">
        <v>108</v>
      </c>
      <c r="B101" s="21" t="s">
        <v>84</v>
      </c>
      <c r="C101" s="21" t="s">
        <v>96</v>
      </c>
      <c r="D101" s="22" t="s">
        <v>109</v>
      </c>
      <c r="E101" s="21" t="s">
        <v>46</v>
      </c>
      <c r="F101" s="43">
        <v>800</v>
      </c>
      <c r="G101" s="43">
        <v>800</v>
      </c>
      <c r="H101" s="43">
        <v>800</v>
      </c>
      <c r="I101" s="12"/>
    </row>
    <row r="102" spans="1:11" ht="70.5" customHeight="1" x14ac:dyDescent="0.25">
      <c r="A102" s="15" t="s">
        <v>106</v>
      </c>
      <c r="B102" s="21" t="s">
        <v>84</v>
      </c>
      <c r="C102" s="21" t="s">
        <v>96</v>
      </c>
      <c r="D102" s="22" t="s">
        <v>107</v>
      </c>
      <c r="E102" s="21" t="s">
        <v>10</v>
      </c>
      <c r="F102" s="43">
        <v>5000</v>
      </c>
      <c r="G102" s="43">
        <v>5000</v>
      </c>
      <c r="H102" s="43">
        <v>5000</v>
      </c>
      <c r="I102" s="12"/>
    </row>
    <row r="103" spans="1:11" ht="31.5" x14ac:dyDescent="0.25">
      <c r="A103" s="15" t="s">
        <v>110</v>
      </c>
      <c r="B103" s="21" t="s">
        <v>84</v>
      </c>
      <c r="C103" s="21" t="s">
        <v>96</v>
      </c>
      <c r="D103" s="22" t="s">
        <v>111</v>
      </c>
      <c r="E103" s="21" t="s">
        <v>10</v>
      </c>
      <c r="F103" s="43">
        <f>15000</f>
        <v>15000</v>
      </c>
      <c r="G103" s="43">
        <f>15000</f>
        <v>15000</v>
      </c>
      <c r="H103" s="43">
        <f>15000</f>
        <v>15000</v>
      </c>
      <c r="I103" s="12"/>
    </row>
    <row r="104" spans="1:11" ht="31.5" x14ac:dyDescent="0.25">
      <c r="A104" s="15" t="s">
        <v>246</v>
      </c>
      <c r="B104" s="21" t="s">
        <v>84</v>
      </c>
      <c r="C104" s="21" t="s">
        <v>96</v>
      </c>
      <c r="D104" s="22" t="s">
        <v>111</v>
      </c>
      <c r="E104" s="21" t="s">
        <v>46</v>
      </c>
      <c r="F104" s="43">
        <v>10000</v>
      </c>
      <c r="G104" s="43">
        <v>10000</v>
      </c>
      <c r="H104" s="43">
        <v>10000</v>
      </c>
      <c r="I104" s="12"/>
    </row>
    <row r="105" spans="1:11" ht="47.25" x14ac:dyDescent="0.25">
      <c r="A105" s="30" t="s">
        <v>171</v>
      </c>
      <c r="B105" s="44" t="s">
        <v>84</v>
      </c>
      <c r="C105" s="44" t="s">
        <v>96</v>
      </c>
      <c r="D105" s="45" t="s">
        <v>112</v>
      </c>
      <c r="E105" s="44" t="s">
        <v>10</v>
      </c>
      <c r="F105" s="43">
        <v>20000</v>
      </c>
      <c r="G105" s="43">
        <v>20000</v>
      </c>
      <c r="H105" s="43">
        <v>20000</v>
      </c>
      <c r="I105" s="12"/>
    </row>
    <row r="106" spans="1:11" ht="31.5" x14ac:dyDescent="0.25">
      <c r="A106" s="30" t="s">
        <v>48</v>
      </c>
      <c r="B106" s="44" t="s">
        <v>84</v>
      </c>
      <c r="C106" s="44" t="s">
        <v>96</v>
      </c>
      <c r="D106" s="45" t="s">
        <v>113</v>
      </c>
      <c r="E106" s="44" t="s">
        <v>46</v>
      </c>
      <c r="F106" s="43">
        <v>35000</v>
      </c>
      <c r="G106" s="43">
        <v>70000</v>
      </c>
      <c r="H106" s="43">
        <v>70000</v>
      </c>
      <c r="I106" s="12"/>
    </row>
    <row r="107" spans="1:11" ht="47.25" x14ac:dyDescent="0.25">
      <c r="A107" s="58" t="s">
        <v>114</v>
      </c>
      <c r="B107" s="29" t="s">
        <v>84</v>
      </c>
      <c r="C107" s="29" t="s">
        <v>96</v>
      </c>
      <c r="D107" s="29" t="s">
        <v>115</v>
      </c>
      <c r="E107" s="29" t="s">
        <v>10</v>
      </c>
      <c r="F107" s="34">
        <v>3000</v>
      </c>
      <c r="G107" s="34">
        <v>3000</v>
      </c>
      <c r="H107" s="34">
        <v>3000</v>
      </c>
      <c r="I107" s="12"/>
    </row>
    <row r="108" spans="1:11" ht="47.25" x14ac:dyDescent="0.25">
      <c r="A108" s="58" t="s">
        <v>194</v>
      </c>
      <c r="B108" s="29" t="s">
        <v>84</v>
      </c>
      <c r="C108" s="29" t="s">
        <v>96</v>
      </c>
      <c r="D108" s="29" t="s">
        <v>174</v>
      </c>
      <c r="E108" s="29" t="s">
        <v>10</v>
      </c>
      <c r="F108" s="34">
        <v>100000</v>
      </c>
      <c r="G108" s="34">
        <v>100000</v>
      </c>
      <c r="H108" s="34">
        <v>100000</v>
      </c>
      <c r="I108" s="12"/>
    </row>
    <row r="109" spans="1:11" ht="50.25" customHeight="1" x14ac:dyDescent="0.25">
      <c r="A109" s="58" t="s">
        <v>195</v>
      </c>
      <c r="B109" s="29" t="s">
        <v>84</v>
      </c>
      <c r="C109" s="29" t="s">
        <v>96</v>
      </c>
      <c r="D109" s="29" t="s">
        <v>192</v>
      </c>
      <c r="E109" s="29" t="s">
        <v>10</v>
      </c>
      <c r="F109" s="34">
        <v>60000</v>
      </c>
      <c r="G109" s="34">
        <v>60000</v>
      </c>
      <c r="H109" s="34">
        <v>60000</v>
      </c>
      <c r="I109" s="12"/>
    </row>
    <row r="110" spans="1:11" ht="47.25" x14ac:dyDescent="0.25">
      <c r="A110" s="58" t="s">
        <v>196</v>
      </c>
      <c r="B110" s="29" t="s">
        <v>84</v>
      </c>
      <c r="C110" s="29" t="s">
        <v>96</v>
      </c>
      <c r="D110" s="29" t="s">
        <v>193</v>
      </c>
      <c r="E110" s="29" t="s">
        <v>10</v>
      </c>
      <c r="F110" s="34">
        <v>100000</v>
      </c>
      <c r="G110" s="34">
        <v>100000</v>
      </c>
      <c r="H110" s="34">
        <v>100000</v>
      </c>
      <c r="I110" s="12"/>
    </row>
    <row r="111" spans="1:11" ht="31.5" x14ac:dyDescent="0.25">
      <c r="A111" s="58" t="s">
        <v>183</v>
      </c>
      <c r="B111" s="29" t="s">
        <v>84</v>
      </c>
      <c r="C111" s="29" t="s">
        <v>96</v>
      </c>
      <c r="D111" s="29" t="s">
        <v>133</v>
      </c>
      <c r="E111" s="29" t="s">
        <v>10</v>
      </c>
      <c r="F111" s="34">
        <v>518129.84</v>
      </c>
      <c r="G111" s="34">
        <v>0</v>
      </c>
      <c r="H111" s="34">
        <v>0</v>
      </c>
      <c r="I111" s="12"/>
      <c r="J111" s="3"/>
      <c r="K111" s="3"/>
    </row>
    <row r="112" spans="1:11" ht="31.5" x14ac:dyDescent="0.25">
      <c r="A112" s="58" t="s">
        <v>281</v>
      </c>
      <c r="B112" s="29" t="s">
        <v>84</v>
      </c>
      <c r="C112" s="29" t="s">
        <v>96</v>
      </c>
      <c r="D112" s="29" t="s">
        <v>133</v>
      </c>
      <c r="E112" s="29" t="s">
        <v>46</v>
      </c>
      <c r="F112" s="34">
        <v>240000</v>
      </c>
      <c r="G112" s="34">
        <v>0</v>
      </c>
      <c r="H112" s="34">
        <v>0</v>
      </c>
      <c r="I112" s="12"/>
      <c r="J112" s="3"/>
      <c r="K112" s="3"/>
    </row>
    <row r="113" spans="1:11" ht="31.5" x14ac:dyDescent="0.25">
      <c r="A113" s="46" t="s">
        <v>63</v>
      </c>
      <c r="B113" s="29" t="s">
        <v>84</v>
      </c>
      <c r="C113" s="29" t="s">
        <v>96</v>
      </c>
      <c r="D113" s="32" t="s">
        <v>62</v>
      </c>
      <c r="E113" s="29" t="s">
        <v>10</v>
      </c>
      <c r="F113" s="34">
        <v>60000</v>
      </c>
      <c r="G113" s="34">
        <v>0</v>
      </c>
      <c r="H113" s="34">
        <v>0</v>
      </c>
      <c r="I113" s="12"/>
    </row>
    <row r="114" spans="1:11" ht="31.5" x14ac:dyDescent="0.25">
      <c r="A114" s="58" t="s">
        <v>205</v>
      </c>
      <c r="B114" s="29" t="s">
        <v>84</v>
      </c>
      <c r="C114" s="29" t="s">
        <v>96</v>
      </c>
      <c r="D114" s="29" t="s">
        <v>206</v>
      </c>
      <c r="E114" s="29" t="s">
        <v>12</v>
      </c>
      <c r="F114" s="34">
        <v>8835437</v>
      </c>
      <c r="G114" s="34">
        <f>9738397.05-9738397.05</f>
        <v>0</v>
      </c>
      <c r="H114" s="34">
        <f>19702345.5-19702345.5</f>
        <v>0</v>
      </c>
      <c r="I114" s="12"/>
      <c r="J114" s="3"/>
      <c r="K114" s="3"/>
    </row>
    <row r="115" spans="1:11" ht="31.5" x14ac:dyDescent="0.25">
      <c r="A115" s="46" t="s">
        <v>160</v>
      </c>
      <c r="B115" s="29" t="s">
        <v>84</v>
      </c>
      <c r="C115" s="29" t="s">
        <v>96</v>
      </c>
      <c r="D115" s="29" t="s">
        <v>116</v>
      </c>
      <c r="E115" s="29" t="s">
        <v>46</v>
      </c>
      <c r="F115" s="34">
        <v>27500</v>
      </c>
      <c r="G115" s="34">
        <v>27500</v>
      </c>
      <c r="H115" s="34">
        <v>27500</v>
      </c>
      <c r="I115" s="12"/>
    </row>
    <row r="116" spans="1:11" ht="47.25" x14ac:dyDescent="0.25">
      <c r="A116" s="17" t="s">
        <v>182</v>
      </c>
      <c r="B116" s="11" t="s">
        <v>84</v>
      </c>
      <c r="C116" s="11" t="s">
        <v>96</v>
      </c>
      <c r="D116" s="29" t="s">
        <v>117</v>
      </c>
      <c r="E116" s="29" t="s">
        <v>10</v>
      </c>
      <c r="F116" s="34">
        <v>10643</v>
      </c>
      <c r="G116" s="34">
        <v>10643</v>
      </c>
      <c r="H116" s="34">
        <v>10643</v>
      </c>
      <c r="I116" s="12"/>
    </row>
    <row r="117" spans="1:11" ht="31.5" x14ac:dyDescent="0.25">
      <c r="A117" s="46" t="s">
        <v>186</v>
      </c>
      <c r="B117" s="29" t="s">
        <v>84</v>
      </c>
      <c r="C117" s="29" t="s">
        <v>96</v>
      </c>
      <c r="D117" s="29" t="s">
        <v>118</v>
      </c>
      <c r="E117" s="29" t="s">
        <v>12</v>
      </c>
      <c r="F117" s="34">
        <f>58345+10937</f>
        <v>69282</v>
      </c>
      <c r="G117" s="34">
        <v>69282</v>
      </c>
      <c r="H117" s="34">
        <v>69282</v>
      </c>
      <c r="I117" s="12"/>
    </row>
    <row r="118" spans="1:11" ht="47.25" x14ac:dyDescent="0.25">
      <c r="A118" s="46" t="s">
        <v>119</v>
      </c>
      <c r="B118" s="29" t="s">
        <v>84</v>
      </c>
      <c r="C118" s="29" t="s">
        <v>120</v>
      </c>
      <c r="D118" s="29" t="s">
        <v>121</v>
      </c>
      <c r="E118" s="29" t="s">
        <v>10</v>
      </c>
      <c r="F118" s="34">
        <v>236430</v>
      </c>
      <c r="G118" s="34">
        <v>236430</v>
      </c>
      <c r="H118" s="34">
        <v>236430</v>
      </c>
      <c r="I118" s="12"/>
    </row>
    <row r="119" spans="1:11" ht="66.75" customHeight="1" x14ac:dyDescent="0.25">
      <c r="A119" s="46" t="s">
        <v>242</v>
      </c>
      <c r="B119" s="29" t="s">
        <v>84</v>
      </c>
      <c r="C119" s="29" t="s">
        <v>120</v>
      </c>
      <c r="D119" s="29" t="s">
        <v>173</v>
      </c>
      <c r="E119" s="29" t="s">
        <v>10</v>
      </c>
      <c r="F119" s="34">
        <v>13000</v>
      </c>
      <c r="G119" s="34">
        <v>13000</v>
      </c>
      <c r="H119" s="34">
        <v>13000</v>
      </c>
      <c r="I119" s="12"/>
    </row>
    <row r="120" spans="1:11" ht="63" x14ac:dyDescent="0.25">
      <c r="A120" s="17" t="s">
        <v>123</v>
      </c>
      <c r="B120" s="11" t="s">
        <v>84</v>
      </c>
      <c r="C120" s="11" t="s">
        <v>122</v>
      </c>
      <c r="D120" s="29" t="s">
        <v>282</v>
      </c>
      <c r="E120" s="29" t="s">
        <v>10</v>
      </c>
      <c r="F120" s="34">
        <v>305293.24</v>
      </c>
      <c r="G120" s="34">
        <v>305898</v>
      </c>
      <c r="H120" s="34">
        <v>305898</v>
      </c>
      <c r="I120" s="23"/>
    </row>
    <row r="121" spans="1:11" ht="50.25" customHeight="1" x14ac:dyDescent="0.25">
      <c r="A121" s="15" t="s">
        <v>124</v>
      </c>
      <c r="B121" s="22" t="s">
        <v>84</v>
      </c>
      <c r="C121" s="22" t="s">
        <v>122</v>
      </c>
      <c r="D121" s="22" t="s">
        <v>125</v>
      </c>
      <c r="E121" s="22" t="s">
        <v>10</v>
      </c>
      <c r="F121" s="9">
        <f>30000-30000+30000-21600+21600</f>
        <v>30000</v>
      </c>
      <c r="G121" s="9">
        <v>30000</v>
      </c>
      <c r="H121" s="9">
        <v>30000</v>
      </c>
      <c r="I121" s="12"/>
    </row>
    <row r="122" spans="1:11" ht="35.25" customHeight="1" x14ac:dyDescent="0.25">
      <c r="A122" s="15" t="s">
        <v>231</v>
      </c>
      <c r="B122" s="22" t="s">
        <v>84</v>
      </c>
      <c r="C122" s="22" t="s">
        <v>122</v>
      </c>
      <c r="D122" s="22" t="s">
        <v>232</v>
      </c>
      <c r="E122" s="22" t="s">
        <v>10</v>
      </c>
      <c r="F122" s="9">
        <v>87500</v>
      </c>
      <c r="G122" s="9">
        <v>87500</v>
      </c>
      <c r="H122" s="9">
        <v>87500</v>
      </c>
      <c r="I122" s="12"/>
    </row>
    <row r="123" spans="1:11" ht="36.75" customHeight="1" x14ac:dyDescent="0.25">
      <c r="A123" s="30" t="s">
        <v>172</v>
      </c>
      <c r="B123" s="32" t="s">
        <v>84</v>
      </c>
      <c r="C123" s="32" t="s">
        <v>197</v>
      </c>
      <c r="D123" s="40" t="s">
        <v>175</v>
      </c>
      <c r="E123" s="45" t="s">
        <v>10</v>
      </c>
      <c r="F123" s="47">
        <v>7720000</v>
      </c>
      <c r="G123" s="47">
        <v>8492000</v>
      </c>
      <c r="H123" s="47">
        <v>9342000</v>
      </c>
      <c r="I123" s="12"/>
    </row>
    <row r="124" spans="1:11" ht="159.75" customHeight="1" x14ac:dyDescent="0.25">
      <c r="A124" s="30" t="s">
        <v>129</v>
      </c>
      <c r="B124" s="45" t="s">
        <v>84</v>
      </c>
      <c r="C124" s="45" t="s">
        <v>127</v>
      </c>
      <c r="D124" s="45" t="s">
        <v>262</v>
      </c>
      <c r="E124" s="45" t="s">
        <v>10</v>
      </c>
      <c r="F124" s="47">
        <f>3285774.02-3285774.02+2505664.17</f>
        <v>2505664.17</v>
      </c>
      <c r="G124" s="47">
        <f>3285774.02+1725554.32</f>
        <v>5011328.34</v>
      </c>
      <c r="H124" s="47">
        <f>3285774.02+1725554.32</f>
        <v>5011328.34</v>
      </c>
      <c r="I124" s="12"/>
    </row>
    <row r="125" spans="1:11" ht="147" customHeight="1" x14ac:dyDescent="0.25">
      <c r="A125" s="30" t="s">
        <v>198</v>
      </c>
      <c r="B125" s="45" t="s">
        <v>84</v>
      </c>
      <c r="C125" s="45" t="s">
        <v>127</v>
      </c>
      <c r="D125" s="45" t="s">
        <v>262</v>
      </c>
      <c r="E125" s="45" t="s">
        <v>130</v>
      </c>
      <c r="F125" s="47">
        <f>0+3285774.02+1725554.32-2505664.17</f>
        <v>2505664.17</v>
      </c>
      <c r="G125" s="47">
        <v>0</v>
      </c>
      <c r="H125" s="47">
        <v>0</v>
      </c>
      <c r="I125" s="12"/>
    </row>
    <row r="126" spans="1:11" ht="147" customHeight="1" x14ac:dyDescent="0.25">
      <c r="A126" s="30" t="s">
        <v>131</v>
      </c>
      <c r="B126" s="45" t="s">
        <v>84</v>
      </c>
      <c r="C126" s="45" t="s">
        <v>127</v>
      </c>
      <c r="D126" s="45" t="s">
        <v>263</v>
      </c>
      <c r="E126" s="45" t="s">
        <v>10</v>
      </c>
      <c r="F126" s="47">
        <f>1781457.07-1781457.07+1447690.66</f>
        <v>1447690.66</v>
      </c>
      <c r="G126" s="47">
        <f>1781457.07+1113924.25</f>
        <v>2895381.3200000003</v>
      </c>
      <c r="H126" s="47">
        <f>1781457.07+1113924.25</f>
        <v>2895381.3200000003</v>
      </c>
      <c r="I126" s="12"/>
    </row>
    <row r="127" spans="1:11" ht="146.25" customHeight="1" x14ac:dyDescent="0.25">
      <c r="A127" s="30" t="s">
        <v>199</v>
      </c>
      <c r="B127" s="45" t="s">
        <v>84</v>
      </c>
      <c r="C127" s="45" t="s">
        <v>127</v>
      </c>
      <c r="D127" s="45" t="s">
        <v>263</v>
      </c>
      <c r="E127" s="45" t="s">
        <v>130</v>
      </c>
      <c r="F127" s="47">
        <f>0+1781457.07+1113924.25-1447690.66</f>
        <v>1447690.6600000004</v>
      </c>
      <c r="G127" s="47">
        <v>0</v>
      </c>
      <c r="H127" s="47">
        <v>0</v>
      </c>
      <c r="I127" s="12"/>
    </row>
    <row r="128" spans="1:11" ht="49.5" customHeight="1" x14ac:dyDescent="0.25">
      <c r="A128" s="30" t="s">
        <v>126</v>
      </c>
      <c r="B128" s="45" t="s">
        <v>84</v>
      </c>
      <c r="C128" s="45" t="s">
        <v>127</v>
      </c>
      <c r="D128" s="45" t="s">
        <v>264</v>
      </c>
      <c r="E128" s="45" t="s">
        <v>10</v>
      </c>
      <c r="F128" s="47">
        <v>48000</v>
      </c>
      <c r="G128" s="47">
        <v>48000</v>
      </c>
      <c r="H128" s="47">
        <v>48000</v>
      </c>
      <c r="I128" s="12"/>
    </row>
    <row r="129" spans="1:9" ht="31.5" x14ac:dyDescent="0.25">
      <c r="A129" s="46" t="s">
        <v>128</v>
      </c>
      <c r="B129" s="45" t="s">
        <v>84</v>
      </c>
      <c r="C129" s="45" t="s">
        <v>127</v>
      </c>
      <c r="D129" s="45" t="s">
        <v>265</v>
      </c>
      <c r="E129" s="45" t="s">
        <v>10</v>
      </c>
      <c r="F129" s="47">
        <f>150106.42+9010.52</f>
        <v>159116.94</v>
      </c>
      <c r="G129" s="47">
        <v>150106.42000000001</v>
      </c>
      <c r="H129" s="47">
        <f>10430.15+139676.27-756.81</f>
        <v>149349.60999999999</v>
      </c>
      <c r="I129" s="12"/>
    </row>
    <row r="130" spans="1:9" ht="31.5" x14ac:dyDescent="0.25">
      <c r="A130" s="46" t="s">
        <v>226</v>
      </c>
      <c r="B130" s="45" t="s">
        <v>84</v>
      </c>
      <c r="C130" s="45" t="s">
        <v>127</v>
      </c>
      <c r="D130" s="45" t="s">
        <v>266</v>
      </c>
      <c r="E130" s="45" t="s">
        <v>10</v>
      </c>
      <c r="F130" s="47">
        <v>487390</v>
      </c>
      <c r="G130" s="47">
        <v>487390</v>
      </c>
      <c r="H130" s="47">
        <v>487390</v>
      </c>
      <c r="I130" s="12"/>
    </row>
    <row r="131" spans="1:9" ht="39.75" customHeight="1" x14ac:dyDescent="0.25">
      <c r="A131" s="30" t="s">
        <v>278</v>
      </c>
      <c r="B131" s="45" t="s">
        <v>84</v>
      </c>
      <c r="C131" s="45" t="s">
        <v>127</v>
      </c>
      <c r="D131" s="45" t="s">
        <v>279</v>
      </c>
      <c r="E131" s="45" t="s">
        <v>10</v>
      </c>
      <c r="F131" s="47">
        <f>400000+21052.63</f>
        <v>421052.63</v>
      </c>
      <c r="G131" s="47">
        <v>0</v>
      </c>
      <c r="H131" s="47">
        <v>0</v>
      </c>
      <c r="I131" s="12"/>
    </row>
    <row r="132" spans="1:9" ht="83.25" customHeight="1" x14ac:dyDescent="0.25">
      <c r="A132" s="46" t="s">
        <v>185</v>
      </c>
      <c r="B132" s="32" t="s">
        <v>84</v>
      </c>
      <c r="C132" s="32" t="s">
        <v>127</v>
      </c>
      <c r="D132" s="40" t="s">
        <v>267</v>
      </c>
      <c r="E132" s="45" t="s">
        <v>10</v>
      </c>
      <c r="F132" s="47">
        <f>6461659.21+65269.28</f>
        <v>6526928.4900000002</v>
      </c>
      <c r="G132" s="47">
        <f>6461659.21+65269.28</f>
        <v>6526928.4900000002</v>
      </c>
      <c r="H132" s="47">
        <f>6426648.33+64915.64</f>
        <v>6491563.9699999997</v>
      </c>
      <c r="I132" s="23"/>
    </row>
    <row r="133" spans="1:9" ht="34.5" customHeight="1" x14ac:dyDescent="0.25">
      <c r="A133" s="30" t="s">
        <v>161</v>
      </c>
      <c r="B133" s="45" t="s">
        <v>84</v>
      </c>
      <c r="C133" s="45" t="s">
        <v>132</v>
      </c>
      <c r="D133" s="45" t="s">
        <v>133</v>
      </c>
      <c r="E133" s="45" t="s">
        <v>10</v>
      </c>
      <c r="F133" s="47">
        <f>220000.37-102958.01</f>
        <v>117042.36</v>
      </c>
      <c r="G133" s="47">
        <v>220000.37</v>
      </c>
      <c r="H133" s="47">
        <v>220000.37</v>
      </c>
      <c r="I133" s="12"/>
    </row>
    <row r="134" spans="1:9" ht="129.75" customHeight="1" x14ac:dyDescent="0.25">
      <c r="A134" s="46" t="s">
        <v>134</v>
      </c>
      <c r="B134" s="45" t="s">
        <v>84</v>
      </c>
      <c r="C134" s="45" t="s">
        <v>135</v>
      </c>
      <c r="D134" s="45" t="s">
        <v>136</v>
      </c>
      <c r="E134" s="45" t="s">
        <v>10</v>
      </c>
      <c r="F134" s="47">
        <v>22712.45</v>
      </c>
      <c r="G134" s="47">
        <v>22712.45</v>
      </c>
      <c r="H134" s="47">
        <v>22712.45</v>
      </c>
      <c r="I134" s="12"/>
    </row>
    <row r="135" spans="1:9" ht="48.75" customHeight="1" x14ac:dyDescent="0.25">
      <c r="A135" s="46" t="s">
        <v>169</v>
      </c>
      <c r="B135" s="45" t="s">
        <v>84</v>
      </c>
      <c r="C135" s="45" t="s">
        <v>137</v>
      </c>
      <c r="D135" s="45" t="s">
        <v>138</v>
      </c>
      <c r="E135" s="45" t="s">
        <v>10</v>
      </c>
      <c r="F135" s="47">
        <v>200000</v>
      </c>
      <c r="G135" s="47">
        <v>200000</v>
      </c>
      <c r="H135" s="47">
        <v>200000</v>
      </c>
      <c r="I135" s="12"/>
    </row>
    <row r="136" spans="1:9" ht="84" customHeight="1" x14ac:dyDescent="0.25">
      <c r="A136" s="48" t="s">
        <v>139</v>
      </c>
      <c r="B136" s="45" t="s">
        <v>84</v>
      </c>
      <c r="C136" s="45" t="s">
        <v>137</v>
      </c>
      <c r="D136" s="45" t="s">
        <v>140</v>
      </c>
      <c r="E136" s="45" t="s">
        <v>10</v>
      </c>
      <c r="F136" s="47">
        <f>269467-269467+236199.15</f>
        <v>236199.15</v>
      </c>
      <c r="G136" s="47">
        <f>269467+202931.3</f>
        <v>472398.3</v>
      </c>
      <c r="H136" s="47">
        <f>269467+202931.3</f>
        <v>472398.3</v>
      </c>
      <c r="I136" s="12"/>
    </row>
    <row r="137" spans="1:9" ht="85.5" customHeight="1" x14ac:dyDescent="0.25">
      <c r="A137" s="16" t="s">
        <v>200</v>
      </c>
      <c r="B137" s="22" t="s">
        <v>84</v>
      </c>
      <c r="C137" s="22" t="s">
        <v>137</v>
      </c>
      <c r="D137" s="22" t="s">
        <v>140</v>
      </c>
      <c r="E137" s="22" t="s">
        <v>130</v>
      </c>
      <c r="F137" s="47">
        <f>0+269467+202931.3-236199.15</f>
        <v>236199.15</v>
      </c>
      <c r="G137" s="47">
        <v>0</v>
      </c>
      <c r="H137" s="47">
        <v>0</v>
      </c>
      <c r="I137" s="12"/>
    </row>
    <row r="138" spans="1:9" ht="85.5" customHeight="1" x14ac:dyDescent="0.25">
      <c r="A138" s="48" t="s">
        <v>176</v>
      </c>
      <c r="B138" s="45" t="s">
        <v>84</v>
      </c>
      <c r="C138" s="45" t="s">
        <v>137</v>
      </c>
      <c r="D138" s="45" t="s">
        <v>141</v>
      </c>
      <c r="E138" s="45" t="s">
        <v>10</v>
      </c>
      <c r="F138" s="47">
        <f>72600-72600+59400</f>
        <v>59400</v>
      </c>
      <c r="G138" s="47">
        <f>72600+46200</f>
        <v>118800</v>
      </c>
      <c r="H138" s="47">
        <f>72600+46200</f>
        <v>118800</v>
      </c>
      <c r="I138" s="12"/>
    </row>
    <row r="139" spans="1:9" ht="66.75" customHeight="1" x14ac:dyDescent="0.25">
      <c r="A139" s="48" t="s">
        <v>201</v>
      </c>
      <c r="B139" s="45" t="s">
        <v>84</v>
      </c>
      <c r="C139" s="45" t="s">
        <v>137</v>
      </c>
      <c r="D139" s="45" t="s">
        <v>141</v>
      </c>
      <c r="E139" s="45" t="s">
        <v>130</v>
      </c>
      <c r="F139" s="47">
        <f>0+72600+46200-59400</f>
        <v>59400</v>
      </c>
      <c r="G139" s="47">
        <v>0</v>
      </c>
      <c r="H139" s="47">
        <v>0</v>
      </c>
      <c r="I139" s="12"/>
    </row>
    <row r="140" spans="1:9" ht="35.25" customHeight="1" x14ac:dyDescent="0.25">
      <c r="A140" s="48" t="s">
        <v>269</v>
      </c>
      <c r="B140" s="45" t="s">
        <v>84</v>
      </c>
      <c r="C140" s="45" t="s">
        <v>137</v>
      </c>
      <c r="D140" s="45" t="s">
        <v>268</v>
      </c>
      <c r="E140" s="45" t="s">
        <v>10</v>
      </c>
      <c r="F140" s="47">
        <v>322159.55</v>
      </c>
      <c r="G140" s="47">
        <v>322159.55</v>
      </c>
      <c r="H140" s="47">
        <v>322159.55</v>
      </c>
      <c r="I140" s="12"/>
    </row>
    <row r="141" spans="1:9" ht="50.25" customHeight="1" x14ac:dyDescent="0.25">
      <c r="A141" s="48" t="s">
        <v>286</v>
      </c>
      <c r="B141" s="45" t="s">
        <v>84</v>
      </c>
      <c r="C141" s="45" t="s">
        <v>137</v>
      </c>
      <c r="D141" s="45" t="s">
        <v>287</v>
      </c>
      <c r="E141" s="45" t="s">
        <v>155</v>
      </c>
      <c r="F141" s="47">
        <f>15028249.79+51342.14</f>
        <v>15079591.93</v>
      </c>
      <c r="G141" s="47">
        <v>0</v>
      </c>
      <c r="H141" s="47">
        <v>0</v>
      </c>
      <c r="I141" s="12"/>
    </row>
    <row r="142" spans="1:9" ht="50.25" customHeight="1" x14ac:dyDescent="0.25">
      <c r="A142" s="61" t="s">
        <v>289</v>
      </c>
      <c r="B142" s="45" t="s">
        <v>84</v>
      </c>
      <c r="C142" s="45" t="s">
        <v>137</v>
      </c>
      <c r="D142" s="45" t="s">
        <v>288</v>
      </c>
      <c r="E142" s="45" t="s">
        <v>155</v>
      </c>
      <c r="F142" s="47">
        <v>144486.69</v>
      </c>
      <c r="G142" s="47">
        <v>0</v>
      </c>
      <c r="H142" s="47">
        <v>0</v>
      </c>
      <c r="I142" s="12"/>
    </row>
    <row r="143" spans="1:9" ht="51" customHeight="1" x14ac:dyDescent="0.25">
      <c r="A143" s="59" t="s">
        <v>203</v>
      </c>
      <c r="B143" s="45" t="s">
        <v>84</v>
      </c>
      <c r="C143" s="45" t="s">
        <v>142</v>
      </c>
      <c r="D143" s="45" t="s">
        <v>283</v>
      </c>
      <c r="E143" s="45" t="s">
        <v>10</v>
      </c>
      <c r="F143" s="47">
        <f>205700-205700+157494.7</f>
        <v>157494.70000000001</v>
      </c>
      <c r="G143" s="47">
        <f>205700+109289.4</f>
        <v>314989.40000000002</v>
      </c>
      <c r="H143" s="47">
        <f>205700+109289.4</f>
        <v>314989.40000000002</v>
      </c>
      <c r="I143" s="12"/>
    </row>
    <row r="144" spans="1:9" ht="32.25" customHeight="1" x14ac:dyDescent="0.25">
      <c r="A144" s="59" t="s">
        <v>202</v>
      </c>
      <c r="B144" s="44" t="s">
        <v>84</v>
      </c>
      <c r="C144" s="44" t="s">
        <v>142</v>
      </c>
      <c r="D144" s="44" t="s">
        <v>283</v>
      </c>
      <c r="E144" s="44" t="s">
        <v>130</v>
      </c>
      <c r="F144" s="47">
        <f>0+205700+109289.4-157494.7</f>
        <v>157494.70000000001</v>
      </c>
      <c r="G144" s="43">
        <v>0</v>
      </c>
      <c r="H144" s="43">
        <v>0</v>
      </c>
      <c r="I144" s="12"/>
    </row>
    <row r="145" spans="1:9" ht="38.25" customHeight="1" x14ac:dyDescent="0.25">
      <c r="A145" s="60" t="s">
        <v>249</v>
      </c>
      <c r="B145" s="49" t="s">
        <v>84</v>
      </c>
      <c r="C145" s="49" t="s">
        <v>142</v>
      </c>
      <c r="D145" s="49" t="s">
        <v>284</v>
      </c>
      <c r="E145" s="49" t="s">
        <v>10</v>
      </c>
      <c r="F145" s="65">
        <f>45375-4125</f>
        <v>41250</v>
      </c>
      <c r="G145" s="65">
        <v>41250</v>
      </c>
      <c r="H145" s="65">
        <v>41250</v>
      </c>
      <c r="I145" s="12"/>
    </row>
    <row r="146" spans="1:9" ht="31.5" x14ac:dyDescent="0.25">
      <c r="A146" s="46" t="s">
        <v>170</v>
      </c>
      <c r="B146" s="44" t="s">
        <v>84</v>
      </c>
      <c r="C146" s="44" t="s">
        <v>142</v>
      </c>
      <c r="D146" s="44" t="s">
        <v>285</v>
      </c>
      <c r="E146" s="44" t="s">
        <v>10</v>
      </c>
      <c r="F146" s="43">
        <v>375000</v>
      </c>
      <c r="G146" s="43">
        <v>375000</v>
      </c>
      <c r="H146" s="43">
        <v>375000</v>
      </c>
      <c r="I146" s="24"/>
    </row>
    <row r="147" spans="1:9" ht="34.5" customHeight="1" x14ac:dyDescent="0.25">
      <c r="A147" s="50" t="s">
        <v>143</v>
      </c>
      <c r="B147" s="33" t="s">
        <v>84</v>
      </c>
      <c r="C147" s="33" t="s">
        <v>142</v>
      </c>
      <c r="D147" s="29" t="s">
        <v>144</v>
      </c>
      <c r="E147" s="33" t="s">
        <v>10</v>
      </c>
      <c r="F147" s="37">
        <v>1500000</v>
      </c>
      <c r="G147" s="37">
        <f>1500000-1500000</f>
        <v>0</v>
      </c>
      <c r="H147" s="37">
        <f>1500000-1500000</f>
        <v>0</v>
      </c>
      <c r="I147" s="12"/>
    </row>
    <row r="148" spans="1:9" ht="47.25" x14ac:dyDescent="0.25">
      <c r="A148" s="46" t="s">
        <v>145</v>
      </c>
      <c r="B148" s="29" t="s">
        <v>84</v>
      </c>
      <c r="C148" s="29" t="s">
        <v>36</v>
      </c>
      <c r="D148" s="29" t="s">
        <v>146</v>
      </c>
      <c r="E148" s="29" t="s">
        <v>30</v>
      </c>
      <c r="F148" s="34">
        <f>6348822.04+50000+13201943.64+110000+744527.35</f>
        <v>20455293.030000001</v>
      </c>
      <c r="G148" s="34">
        <f>13285511.1+150000</f>
        <v>13435511.1</v>
      </c>
      <c r="H148" s="34">
        <f>13285511.1+150000</f>
        <v>13435511.1</v>
      </c>
      <c r="I148" s="12"/>
    </row>
    <row r="149" spans="1:9" ht="47.25" x14ac:dyDescent="0.25">
      <c r="A149" s="59" t="s">
        <v>71</v>
      </c>
      <c r="B149" s="32" t="s">
        <v>84</v>
      </c>
      <c r="C149" s="32" t="s">
        <v>72</v>
      </c>
      <c r="D149" s="29" t="s">
        <v>73</v>
      </c>
      <c r="E149" s="32" t="s">
        <v>10</v>
      </c>
      <c r="F149" s="41">
        <v>100000</v>
      </c>
      <c r="G149" s="41">
        <v>100000</v>
      </c>
      <c r="H149" s="41">
        <v>100000</v>
      </c>
      <c r="I149" s="12"/>
    </row>
    <row r="150" spans="1:9" ht="31.5" x14ac:dyDescent="0.25">
      <c r="A150" s="58" t="s">
        <v>147</v>
      </c>
      <c r="B150" s="29" t="s">
        <v>84</v>
      </c>
      <c r="C150" s="29" t="s">
        <v>148</v>
      </c>
      <c r="D150" s="29" t="s">
        <v>149</v>
      </c>
      <c r="E150" s="29" t="s">
        <v>46</v>
      </c>
      <c r="F150" s="34">
        <v>3199681.38</v>
      </c>
      <c r="G150" s="34">
        <v>3199681.38</v>
      </c>
      <c r="H150" s="34">
        <v>3199681.38</v>
      </c>
      <c r="I150" s="12"/>
    </row>
    <row r="151" spans="1:9" ht="47.25" x14ac:dyDescent="0.25">
      <c r="A151" s="46" t="s">
        <v>184</v>
      </c>
      <c r="B151" s="45" t="s">
        <v>84</v>
      </c>
      <c r="C151" s="45" t="s">
        <v>150</v>
      </c>
      <c r="D151" s="32" t="s">
        <v>151</v>
      </c>
      <c r="E151" s="45" t="s">
        <v>46</v>
      </c>
      <c r="F151" s="47">
        <v>147993.29999999999</v>
      </c>
      <c r="G151" s="47">
        <v>59197.32</v>
      </c>
      <c r="H151" s="47">
        <v>44397.99</v>
      </c>
      <c r="I151" s="12"/>
    </row>
    <row r="152" spans="1:9" ht="78.75" x14ac:dyDescent="0.25">
      <c r="A152" s="50" t="s">
        <v>152</v>
      </c>
      <c r="B152" s="49" t="s">
        <v>84</v>
      </c>
      <c r="C152" s="49" t="s">
        <v>150</v>
      </c>
      <c r="D152" s="51" t="s">
        <v>153</v>
      </c>
      <c r="E152" s="49" t="s">
        <v>46</v>
      </c>
      <c r="F152" s="65">
        <v>88795.98</v>
      </c>
      <c r="G152" s="65">
        <v>38055.42</v>
      </c>
      <c r="H152" s="65">
        <v>0</v>
      </c>
      <c r="I152" s="12"/>
    </row>
    <row r="153" spans="1:9" ht="63" x14ac:dyDescent="0.25">
      <c r="A153" s="50" t="s">
        <v>154</v>
      </c>
      <c r="B153" s="33" t="s">
        <v>84</v>
      </c>
      <c r="C153" s="33" t="s">
        <v>54</v>
      </c>
      <c r="D153" s="33" t="s">
        <v>227</v>
      </c>
      <c r="E153" s="33" t="s">
        <v>155</v>
      </c>
      <c r="F153" s="37">
        <v>10220826</v>
      </c>
      <c r="G153" s="37">
        <v>7300590</v>
      </c>
      <c r="H153" s="37">
        <v>7300590</v>
      </c>
      <c r="I153" s="12"/>
    </row>
    <row r="154" spans="1:9" ht="63" x14ac:dyDescent="0.25">
      <c r="A154" s="18" t="s">
        <v>154</v>
      </c>
      <c r="B154" s="10" t="s">
        <v>84</v>
      </c>
      <c r="C154" s="10" t="s">
        <v>54</v>
      </c>
      <c r="D154" s="10" t="s">
        <v>216</v>
      </c>
      <c r="E154" s="10" t="s">
        <v>155</v>
      </c>
      <c r="F154" s="37">
        <v>1460118</v>
      </c>
      <c r="G154" s="37">
        <v>1460118</v>
      </c>
      <c r="H154" s="37">
        <v>0</v>
      </c>
      <c r="I154" s="12"/>
    </row>
    <row r="155" spans="1:9" ht="94.5" x14ac:dyDescent="0.25">
      <c r="A155" s="50" t="s">
        <v>237</v>
      </c>
      <c r="B155" s="33" t="s">
        <v>84</v>
      </c>
      <c r="C155" s="33" t="s">
        <v>235</v>
      </c>
      <c r="D155" s="33" t="s">
        <v>236</v>
      </c>
      <c r="E155" s="33" t="s">
        <v>30</v>
      </c>
      <c r="F155" s="37">
        <v>180000</v>
      </c>
      <c r="G155" s="37">
        <v>180000</v>
      </c>
      <c r="H155" s="37">
        <v>180000</v>
      </c>
      <c r="I155" s="12"/>
    </row>
    <row r="156" spans="1:9" ht="36" customHeight="1" x14ac:dyDescent="0.25">
      <c r="A156" s="50" t="s">
        <v>156</v>
      </c>
      <c r="B156" s="33" t="s">
        <v>84</v>
      </c>
      <c r="C156" s="33" t="s">
        <v>157</v>
      </c>
      <c r="D156" s="33" t="s">
        <v>158</v>
      </c>
      <c r="E156" s="33" t="s">
        <v>10</v>
      </c>
      <c r="F156" s="37">
        <f>100000</f>
        <v>100000</v>
      </c>
      <c r="G156" s="37">
        <f t="shared" ref="G156:H156" si="16">100000</f>
        <v>100000</v>
      </c>
      <c r="H156" s="37">
        <f t="shared" si="16"/>
        <v>100000</v>
      </c>
      <c r="I156" s="12"/>
    </row>
    <row r="157" spans="1:9" ht="21" customHeight="1" x14ac:dyDescent="0.25">
      <c r="A157" s="62" t="s">
        <v>159</v>
      </c>
      <c r="B157" s="25"/>
      <c r="C157" s="25"/>
      <c r="D157" s="25"/>
      <c r="E157" s="25"/>
      <c r="F157" s="27">
        <f>F5+F71+F79+F83</f>
        <v>844946891.48999989</v>
      </c>
      <c r="G157" s="27">
        <f>G5+G71+G79+G83</f>
        <v>657985907.24999988</v>
      </c>
      <c r="H157" s="27">
        <f>H5+H71+H79+H83</f>
        <v>650221469.66000009</v>
      </c>
      <c r="I157" s="12"/>
    </row>
  </sheetData>
  <mergeCells count="3">
    <mergeCell ref="A1:H1"/>
    <mergeCell ref="A3:H3"/>
    <mergeCell ref="A2:H2"/>
  </mergeCells>
  <pageMargins left="0.31496062992125984" right="0.31496062992125984" top="0.35433070866141736" bottom="0.35433070866141736" header="0.31496062992125984" footer="0.31496062992125984"/>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чтение</vt:lpstr>
      <vt:lpstr>'2 чтение'!Область_печати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Eko</cp:lastModifiedBy>
  <cp:lastPrinted>2025-12-17T11:47:00Z</cp:lastPrinted>
  <dcterms:created xsi:type="dcterms:W3CDTF">2021-01-26T11:28:42Z</dcterms:created>
  <dcterms:modified xsi:type="dcterms:W3CDTF">2025-12-18T06:40:57Z</dcterms:modified>
</cp:coreProperties>
</file>