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server\информация\2023 год\Формирование бюджетов на 2024-2026 гг\Чтения бюджетов\Второе чтение\ПМР\Решение\"/>
    </mc:Choice>
  </mc:AlternateContent>
  <bookViews>
    <workbookView xWindow="-120" yWindow="-120" windowWidth="25440" windowHeight="15390"/>
  </bookViews>
  <sheets>
    <sheet name="2 чтение" sheetId="79" r:id="rId1"/>
  </sheets>
  <definedNames>
    <definedName name="_xlnm.Print_Area" localSheetId="0">'2 чтение'!$A$1:$H$149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16" i="79" l="1"/>
  <c r="F102" i="79"/>
  <c r="G101" i="79"/>
  <c r="F101" i="79"/>
  <c r="G63" i="79" l="1"/>
  <c r="H63" i="79"/>
  <c r="F63" i="79"/>
  <c r="H123" i="79" l="1"/>
  <c r="G123" i="79"/>
  <c r="F123" i="79"/>
  <c r="H52" i="79"/>
  <c r="G52" i="79"/>
  <c r="F52" i="79"/>
  <c r="H51" i="79"/>
  <c r="G51" i="79"/>
  <c r="F51" i="79"/>
  <c r="F44" i="79"/>
  <c r="H30" i="79"/>
  <c r="G30" i="79"/>
  <c r="F30" i="79"/>
  <c r="F33" i="79"/>
  <c r="H32" i="79"/>
  <c r="G32" i="79"/>
  <c r="F32" i="79"/>
  <c r="F14" i="79"/>
  <c r="F45" i="79" l="1"/>
  <c r="F10" i="79"/>
  <c r="F23" i="79"/>
  <c r="F9" i="79"/>
  <c r="F114" i="79" l="1"/>
  <c r="F56" i="79" l="1"/>
  <c r="F38" i="79"/>
  <c r="F41" i="79"/>
  <c r="G50" i="79"/>
  <c r="H50" i="79"/>
  <c r="F50" i="79"/>
  <c r="F48" i="79"/>
  <c r="H45" i="79"/>
  <c r="G45" i="79"/>
  <c r="G43" i="79"/>
  <c r="H43" i="79"/>
  <c r="F43" i="79"/>
  <c r="H42" i="79"/>
  <c r="G42" i="79"/>
  <c r="F42" i="79"/>
  <c r="H41" i="79"/>
  <c r="G41" i="79"/>
  <c r="F39" i="79"/>
  <c r="F36" i="79"/>
  <c r="F35" i="79"/>
  <c r="F24" i="79"/>
  <c r="F22" i="79"/>
  <c r="F19" i="79"/>
  <c r="F18" i="79"/>
  <c r="F17" i="79"/>
  <c r="G15" i="79"/>
  <c r="H15" i="79"/>
  <c r="F15" i="79"/>
  <c r="F11" i="79"/>
  <c r="G12" i="79"/>
  <c r="F129" i="79" l="1"/>
  <c r="F140" i="79" l="1"/>
  <c r="H102" i="79" l="1"/>
  <c r="G102" i="79"/>
  <c r="F78" i="79"/>
  <c r="F119" i="79" l="1"/>
  <c r="F117" i="79"/>
  <c r="F115" i="79"/>
  <c r="F136" i="79" l="1"/>
  <c r="F131" i="79"/>
  <c r="F135" i="79" l="1"/>
  <c r="F130" i="79"/>
  <c r="F128" i="79"/>
  <c r="F139" i="79"/>
  <c r="F121" i="79"/>
  <c r="F118" i="79"/>
  <c r="F116" i="79"/>
  <c r="F125" i="79"/>
  <c r="F124" i="79"/>
  <c r="H10" i="79" l="1"/>
  <c r="G10" i="79"/>
  <c r="H12" i="79" l="1"/>
  <c r="H25" i="79"/>
  <c r="G25" i="79"/>
  <c r="F25" i="79"/>
  <c r="F12" i="79"/>
  <c r="G7" i="79" l="1"/>
  <c r="H23" i="79"/>
  <c r="G23" i="79"/>
  <c r="H35" i="79" l="1"/>
  <c r="G35" i="79"/>
  <c r="H17" i="79"/>
  <c r="G17" i="79"/>
  <c r="H56" i="79" l="1"/>
  <c r="G56" i="79"/>
  <c r="G55" i="79"/>
  <c r="H55" i="79"/>
  <c r="F55" i="79"/>
  <c r="G48" i="79"/>
  <c r="H48" i="79"/>
  <c r="H24" i="79"/>
  <c r="G24" i="79"/>
  <c r="G22" i="79"/>
  <c r="H22" i="79"/>
  <c r="G20" i="79"/>
  <c r="H20" i="79"/>
  <c r="F20" i="79"/>
  <c r="H11" i="79"/>
  <c r="G11" i="79"/>
  <c r="H9" i="79"/>
  <c r="G9" i="79"/>
  <c r="H7" i="79"/>
  <c r="F7" i="79"/>
  <c r="H6" i="79"/>
  <c r="G6" i="79"/>
  <c r="F6" i="79"/>
  <c r="F106" i="79"/>
  <c r="H140" i="79" l="1"/>
  <c r="G140" i="79"/>
  <c r="F142" i="79" l="1"/>
  <c r="H147" i="79" l="1"/>
  <c r="G147" i="79"/>
  <c r="F147" i="79"/>
  <c r="H139" i="79"/>
  <c r="G139" i="79"/>
  <c r="F137" i="79"/>
  <c r="H126" i="79"/>
  <c r="G126" i="79"/>
  <c r="F110" i="79"/>
  <c r="F108" i="79"/>
  <c r="F105" i="79"/>
  <c r="H101" i="79"/>
  <c r="F71" i="79"/>
  <c r="H71" i="79"/>
  <c r="G71" i="79"/>
  <c r="H36" i="79"/>
  <c r="G36" i="79"/>
  <c r="H18" i="79"/>
  <c r="G18" i="79"/>
  <c r="F75" i="79" l="1"/>
  <c r="F5" i="79"/>
  <c r="H5" i="79"/>
  <c r="G5" i="79"/>
  <c r="G75" i="79"/>
  <c r="H75" i="79"/>
  <c r="H149" i="79" l="1"/>
  <c r="F149" i="79"/>
  <c r="G149" i="79"/>
</calcChain>
</file>

<file path=xl/sharedStrings.xml><?xml version="1.0" encoding="utf-8"?>
<sst xmlns="http://schemas.openxmlformats.org/spreadsheetml/2006/main" count="720" uniqueCount="281">
  <si>
    <t>Единица измерения: руб.</t>
  </si>
  <si>
    <t>Наименование расходов</t>
  </si>
  <si>
    <t>Код главы</t>
  </si>
  <si>
    <t>Муниципальное казённое учреждение отдел образования администрации Приволжского  муниципального района</t>
  </si>
  <si>
    <t>073</t>
  </si>
  <si>
    <t>Расходы на обеспечение деятельности (оказание услуг) муниципальных учреждений дошкольного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</si>
  <si>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0701</t>
  </si>
  <si>
    <t>03 1 01 01590</t>
  </si>
  <si>
    <t>100</t>
  </si>
  <si>
    <t>Расходы на обеспечение деятельности (оказание услуг) муниципальных учреждений дошкольного образования (Закупка товаров, работ и услуг для обеспечения государственных (муниципальных) нужд)</t>
  </si>
  <si>
    <t>200</t>
  </si>
  <si>
    <t>Расходы на обеспечение деятельности (оказание услуг) муниципальных учреждений дошкольного образования (Иные бюджетные ассигнования)</t>
  </si>
  <si>
    <t>800</t>
  </si>
  <si>
    <t>03 1 01 80170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</si>
  <si>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</si>
  <si>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03 1 04 80100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</si>
  <si>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</si>
  <si>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Организация мероприятий по пожарной и антитеррористической безопасности (Закупка товаров, работ и услуг для обеспечения государственных (муниципальных) нужд)</t>
  </si>
  <si>
    <t>03 1 05 07590</t>
  </si>
  <si>
    <t>Проведение ремонтных работ образовательных учреждений (Закупка товаров, работ и услуг для обеспечения государственных (муниципальных) нужд)</t>
  </si>
  <si>
    <t>03 1 06 08590</t>
  </si>
  <si>
    <t xml:space="preserve">Охрана труда (Закупка товаров, работ и услуг для обеспечения государственных (муниципальных) нужд) </t>
  </si>
  <si>
    <t>03 7 01 41100</t>
  </si>
  <si>
    <t>0702</t>
  </si>
  <si>
    <t>Расходы на обеспечение деятельности (оказание услуг) муниципальных учреждений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</si>
  <si>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03 1 02 02590</t>
  </si>
  <si>
    <t>Расходы на обеспечение деятельности (оказание услуг) муниципальных учреждений общего образования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</si>
  <si>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общего образования (Иные межбюджетные ассигнования)</t>
  </si>
  <si>
    <t>03 1 02 80150</t>
  </si>
  <si>
    <t>Возмещение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 (Предоставление субсидий бюджетным, автономным учреждениям и иным некоммерческим организациям)</t>
  </si>
  <si>
    <t>03 1 02 80160</t>
  </si>
  <si>
    <t>600</t>
  </si>
  <si>
    <t>03 1 02 L3041</t>
  </si>
  <si>
    <t>Поддержка молодых специалистов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</si>
  <si>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03 3 01 06590</t>
  </si>
  <si>
    <t xml:space="preserve">Проведение государственной итоговой аттестации выпускников (Закупка товаров, работ и услуг для обеспечения государственных (муниципальных) нужд) </t>
  </si>
  <si>
    <t>03 6 01 01790</t>
  </si>
  <si>
    <t>0703</t>
  </si>
  <si>
    <t>03 1 03 03590</t>
  </si>
  <si>
    <t>03 4 01 00100</t>
  </si>
  <si>
    <t>03 4 02 S0190</t>
  </si>
  <si>
    <t>03 4 02 80200</t>
  </si>
  <si>
    <t>Расходы на обеспечение деятельности (оказание услуг) муниципальных учреждений общего образования (Предоставление субсидий бюджетным, автономным учреждениям и иным некоммерческим организациям)</t>
  </si>
  <si>
    <t>0709</t>
  </si>
  <si>
    <t>Организация мероприятий по поддержке одаренных детей  (Закупка товаров, работ и услуг для обеспечения государственных (муниципальных) нужд)</t>
  </si>
  <si>
    <t>03 2 01 05590</t>
  </si>
  <si>
    <t>Организация мероприятий по поддержке одаренных детей  (Социальное обеспечение и иные выплаты населению)</t>
  </si>
  <si>
    <t>300</t>
  </si>
  <si>
    <t>Поддержка молодых специалистов (Закупка товаров, работ и услуг для обеспечения государственных (муниципальных) нужд)</t>
  </si>
  <si>
    <t>Поддержка молодых специалистов (Социальное обеспечение и иные выплаты населению)</t>
  </si>
  <si>
    <t>Расходы на обеспечение деятельности (оказание услуг) муниципальных учреждений по другим вопросам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</si>
  <si>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42 9 00 04590</t>
  </si>
  <si>
    <t>Расходы на обеспечение деятельности (оказание услуг) муниципальных учреждений по другим вопросам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</si>
  <si>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по другим вопросам (Иные бюджетные ассигнования)</t>
  </si>
  <si>
    <t>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</si>
  <si>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1004</t>
  </si>
  <si>
    <t>03 1 04 80110</t>
  </si>
  <si>
    <t>1101</t>
  </si>
  <si>
    <t>03 8 01 01890</t>
  </si>
  <si>
    <t>Финансовое управление администрации Приволжского  муниципального района</t>
  </si>
  <si>
    <t>092</t>
  </si>
  <si>
    <t>Обеспечение функций органов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</si>
  <si>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0106</t>
  </si>
  <si>
    <t>40 9 00 01500</t>
  </si>
  <si>
    <t>Обеспечение функций органов местного самоуправления (Закупка товаров, работ и услуг для обеспечения государственных (муниципальных) нужд)</t>
  </si>
  <si>
    <t>Обеспечение функций органов местного самоуправления (Иные бюджетные ассигнования)</t>
  </si>
  <si>
    <t>Обеспечение функций органов местного самоуправления.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</si>
  <si>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40 9 00 01510</t>
  </si>
  <si>
    <t>Обеспечение средствами информатизации (Закупка товаров, работ и услуг для обеспечения государственных (муниципальных) нужд)</t>
  </si>
  <si>
    <t>11 3 01 00080</t>
  </si>
  <si>
    <t>Диспансеризация муниципальных служащих  (Закупка товаров, работ и услуг для обеспечения государственных (муниципальных) нужд)</t>
  </si>
  <si>
    <t>11 4 01 00090</t>
  </si>
  <si>
    <t>Расходы на создание условий для профессионального развития и подготовки кадров муниципальной службы (Закупка товаров, работ и услуг для обеспечения государственных (муниципальных) нужд)</t>
  </si>
  <si>
    <t>0705</t>
  </si>
  <si>
    <t>11 1 01 02500</t>
  </si>
  <si>
    <t xml:space="preserve">Совет Приволжского муниципального района </t>
  </si>
  <si>
    <t>122</t>
  </si>
  <si>
    <t>Обеспечение функционирования представительного органа муниципального образования. Передача (исполнение) осуществления части полномочий в соответствии с заключенными соглашениями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</si>
  <si>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0103</t>
  </si>
  <si>
    <t>40 9 00 01520</t>
  </si>
  <si>
    <t>Обеспечение функционирования представительного органа муниципального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</si>
  <si>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40 9 00 01900</t>
  </si>
  <si>
    <t>Возмещение расходов депутатам, осуществляющим полномочия на непостоянной основе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</si>
  <si>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40 9 00 01910</t>
  </si>
  <si>
    <t>Администрация Приволжского  муниципального района</t>
  </si>
  <si>
    <t>303</t>
  </si>
  <si>
    <t>Обеспечение функционирования высшего должностного лица органа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</si>
  <si>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0102</t>
  </si>
  <si>
    <t>40 9 00 01700</t>
  </si>
  <si>
    <t>0104</t>
  </si>
  <si>
    <t>13 2 01 80360</t>
  </si>
  <si>
    <t>0105</t>
  </si>
  <si>
    <t>40 9 00 51200</t>
  </si>
  <si>
    <t>Резервный фонд Администрации Приволжского муниципального района (Иные бюджетные ассигнования)</t>
  </si>
  <si>
    <t>0111</t>
  </si>
  <si>
    <t>01 2 01 20810</t>
  </si>
  <si>
    <t xml:space="preserve">Организация учета муниципального имущества и проведение его технической инвентаризации (Закупка товаров, работ и услуг для обеспечения государственных (муниципальных) нужд) </t>
  </si>
  <si>
    <t>0113</t>
  </si>
  <si>
    <t>04 1 01 20910</t>
  </si>
  <si>
    <t>Расходы на содержание казны (Закупка товаров, работ и услуг для обеспечения государственных (муниципальных) нужд)</t>
  </si>
  <si>
    <t>04 1 01 20920</t>
  </si>
  <si>
    <t>Проведение независимой оценки размера арендной платы, рыночной стоимости муниципального имущества, а также земельных участков, находящихся в государственной собственности до разграничения (Закупка товаров, работ и услуг для обеспечения государственных (муниципальных) нужд)</t>
  </si>
  <si>
    <t>04 1 01 20930</t>
  </si>
  <si>
    <t>Выполнение кадастровых работ по межеванию, формированию земельных участков (Закупка товаров, работ и услуг для обеспечения государственных (муниципальных) нужд)</t>
  </si>
  <si>
    <t>04 2 01 20950</t>
  </si>
  <si>
    <t xml:space="preserve">Официальное опубликование правовых актов (Закупка товаров, работ и услуг для обеспечения государственных (муниципальных) нужд)
</t>
  </si>
  <si>
    <t>11 2 01 00040</t>
  </si>
  <si>
    <t>Приобретение элементов экипировки, устройств, обеспечивающих необходимый уровень защиты граждан и охраны общественного порядка на объектах и во время мероприятий с повышенными требованиями к безопасности  (Закупка товаров, работ и услуг для обеспечения государственных (муниципальных) нужд)</t>
  </si>
  <si>
    <t>13 1 01 03000</t>
  </si>
  <si>
    <t>Выплата единовременного денежного вознаграждения гражданам за добровольную сдачу незаконно хранящегося оружия, боеприпасов, взрывчатых веществ,взрывчатых устройств (Социальное обеспечение и иные выплаты населению)</t>
  </si>
  <si>
    <t>13 1 01 01000</t>
  </si>
  <si>
    <t>Проведение мероприятий  по профилактике правонарушений (Закупка товаров, работ и услуг для обеспечения государственных (муниципальных) нужд)</t>
  </si>
  <si>
    <t>13 1 02 02000</t>
  </si>
  <si>
    <t>14 1 01 10010</t>
  </si>
  <si>
    <t>16 1 01 06690</t>
  </si>
  <si>
    <t>Улучшение условий и охраны труда в учреждениях и предприятиях Приволжского муниципального района (Закупка товаров, работ и услуг для обеспечения государственных (муниципальных) нужд)</t>
  </si>
  <si>
    <t>18 1 02 41200</t>
  </si>
  <si>
    <t>40 9 00 70100</t>
  </si>
  <si>
    <t>40 9 00 80350</t>
  </si>
  <si>
    <t>41 9 00 90160</t>
  </si>
  <si>
    <t>Подготовка населения и организаций к действиям в чрезвычайной ситуации в мирное и военное время (Закупка товаров, работ и услуг для обеспечения государственных (муниципальных) нужд)</t>
  </si>
  <si>
    <t>0309</t>
  </si>
  <si>
    <t>05 1 01 90010</t>
  </si>
  <si>
    <t>0405</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</si>
  <si>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</si>
  <si>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06 2 01 80370</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</si>
  <si>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</si>
  <si>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10 1 01 10010</t>
  </si>
  <si>
    <t>Расходы связанные с организацией безопасности, содержанием и эксплуатацией гидротехнических сооружений (Иные бюджетные ассигнования)</t>
  </si>
  <si>
    <t>0406</t>
  </si>
  <si>
    <t>05 2 01 90070</t>
  </si>
  <si>
    <t>Государственная экспертиза по определению достоверности сметной стоимости  работ по ремонту автомобильных дорог (Закупка товаров, работ и услуг для обеспечения государственных (муниципальных) нужд)</t>
  </si>
  <si>
    <t>0409</t>
  </si>
  <si>
    <t>15 1 02 22140</t>
  </si>
  <si>
    <t>Строительный контроль (Закупка товаров, работ и услуг для обеспечения государственных (муниципальных) нужд)</t>
  </si>
  <si>
    <t>15 1 02 23000</t>
  </si>
  <si>
    <t>15 1 02 S0510</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</si>
  <si>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</si>
  <si>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15 1 01 00400</t>
  </si>
  <si>
    <t>500</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</si>
  <si>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</si>
  <si>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15 1 01 00450</t>
  </si>
  <si>
    <t>0412</t>
  </si>
  <si>
    <t>40 9 00 01400</t>
  </si>
  <si>
    <t>Финансовое обеспечение на организацию обеспечения проживающих в поселениях и нуждающихся в жилых помещениях малоимущих граждан жилыми помещениями, организацию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(Закупка товаров, работ и услуг для обеспечения государственных (муниципальных) нужд)</t>
  </si>
  <si>
    <t>0501</t>
  </si>
  <si>
    <t xml:space="preserve">08 1 04 00410 </t>
  </si>
  <si>
    <t>0502</t>
  </si>
  <si>
    <t>08 1 01 28040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</si>
  <si>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(Закупка товаров, работ и услуг для обеспечения государственных (муниципальных) нужд)</t>
  </si>
  <si>
    <t>08 1 03 00440</t>
  </si>
  <si>
    <t>08 1 03 00470</t>
  </si>
  <si>
    <t>Субсидия на реализацию мер по обеспечению экологической безопасности использования, обезвреживания и размещения отходов от объектов жилищного фонда, предприятий и организаций Приволжского муниципального района (Иные бюджетные ассигнования)</t>
  </si>
  <si>
    <t>0503</t>
  </si>
  <si>
    <t>06 1 01 60010</t>
  </si>
  <si>
    <t xml:space="preserve">06 3 01 00430 </t>
  </si>
  <si>
    <t>Субсидия на транспортировку умерших в морг (Иные бюджетные ассигнования)</t>
  </si>
  <si>
    <t>06 3 01 60020</t>
  </si>
  <si>
    <t>Выполнение наказов избирателей (Закупка товаров, работ и услуг для обеспечения государственных (муниципальных) нужд)</t>
  </si>
  <si>
    <t>53 9 00 01990</t>
  </si>
  <si>
    <t>Расходы на обеспечение деятельности (оказание услуг) муниципальных учреждений дополнительного образования (Предоставление субсидий бюджетным, автономным учреждениям и иным некоммерческим организациям)</t>
  </si>
  <si>
    <t>02 1 01 03590</t>
  </si>
  <si>
    <t>Доплата к пенсиям муниципальным служащим (Социальное обеспечение и иные выплаты населению)</t>
  </si>
  <si>
    <t>1001</t>
  </si>
  <si>
    <t>11 1 02 70200</t>
  </si>
  <si>
    <t>1003</t>
  </si>
  <si>
    <t>12 1 01 L4970</t>
  </si>
  <si>
    <t>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 Софинансирование районного бюджета (Социальное обеспечение и иные выплаты населению)</t>
  </si>
  <si>
    <t>12 2 01 70020</t>
  </si>
  <si>
    <t>Мероприятия в области социальной политики. Расходы на оказание финансовой помощи некоммерческим организациям (Предоставление субсидий бюджетным, автономным учреждениям и иным некоммерческим организациям)</t>
  </si>
  <si>
    <t>51 9 00 70030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</si>
  <si>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недвижимого имущества государственной (муниципальной) собственности)</t>
  </si>
  <si>
    <t>400</t>
  </si>
  <si>
    <t>Расходы на проведение мероприятий в области массового спорта  (Закупка товаров, работ и услуг для обеспечения государственных (муниципальных) нужд)</t>
  </si>
  <si>
    <t>1102</t>
  </si>
  <si>
    <t>17 1 01 00120</t>
  </si>
  <si>
    <t>ИТОГО</t>
  </si>
  <si>
    <t>Материальное вознаграждение гражданам, награжденным Почетной грамотой (Социальное обеспечение и иные выплаты населению)</t>
  </si>
  <si>
    <t>Обеспечение прочих обязательств администрации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</si>
  <si>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</si>
  <si>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</si>
  <si>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</si>
  <si>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06 1 01 26210</t>
  </si>
  <si>
    <t>Ликвидация несанкционированных свалок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</si>
  <si>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</si>
  <si>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</si>
  <si>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</si>
  <si>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</si>
  <si>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Актуализация схемы теплоснабжения Приволжского муниципального района (Закупка товаров, работ и услуг для обеспечения государственных (муниципальных) нужд)</t>
  </si>
  <si>
    <t xml:space="preserve">Организация озеленения территорий общего пользования (Закупка товаров, работ и услуг для обеспечения государственных (муниципальных) нужд) </t>
  </si>
  <si>
    <t>06 3 02 26310</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</si>
  <si>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</si>
  <si>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Организация регулярных перевозок по муниципальным маршрутам (Закупка товаров, работ и услуг для обеспечения государственных (муниципальных) нужд)</t>
  </si>
  <si>
    <t>2024 год</t>
  </si>
  <si>
    <t>36 1 01 03010</t>
  </si>
  <si>
    <t>38 1 01 20980</t>
  </si>
  <si>
    <t>Выполнение мероприятий "Комплексного плана противодействия идеологии терроризма в Российской Федерации на 2019-2023 годы" на территории Приволжского муниципального района (Закупка товаров, работ и услуг для обеспечения государственных (муниципальных) нужд)</t>
  </si>
  <si>
    <t>37 1 01 24000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</si>
  <si>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(Закупка товаров, работ и услуг для обеспечения государственных (муниципальных) нужд)</t>
  </si>
  <si>
    <t>Расходы за счет средств от оказания платных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</si>
  <si>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03 1 01 01110</t>
  </si>
  <si>
    <t>Расходы за счет средств от оказания платных услуг (Закупка товаров, работ и услуг для обеспечения государственных (муниципальных) нужд)</t>
  </si>
  <si>
    <t>Расходы за счет средств от оказания платных услуг (Иные бюджетные ассигнования)</t>
  </si>
  <si>
    <t>03 1 02 01111</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</si>
  <si>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(Предоставление субсидий бюджетным, автономным учреждениям и иным некоммерческим организациям)</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</si>
  <si>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</si>
  <si>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Обеспечение прочих обязательств администрации (Иные бюджетные ассигнования)</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</si>
  <si>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</si>
  <si>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</si>
  <si>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Средства на оплату членских взносов Совета муниципальных образований (Иные бюджетные ассигнования)</t>
  </si>
  <si>
    <t>Проведение кадастровых работ в отношении неиспользуемых земель из состава земель сельскохозяйственного назначения (Закупка товаров, работ и услуг для обеспечения государственных (муниципальных) нужд)</t>
  </si>
  <si>
    <t>04 2 01 S7000</t>
  </si>
  <si>
    <t>Расходы на проведение мероприятий для детей и молодежи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</si>
  <si>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реализацию спортивной подготовки в учреждениях дополнительного образования (Предоставление субсидий бюджетным, автономным учреждениям и иным некоммерческим организациям)</t>
  </si>
  <si>
    <t>03 1 03 03580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</si>
  <si>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</si>
  <si>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Обеспечение функционирования модели персонифицированного финансирования дополнительного образования детей (Иные бюджетные ассигнования)</t>
  </si>
  <si>
    <t>2025 год</t>
  </si>
  <si>
    <t>17 1 01 60060</t>
  </si>
  <si>
    <t>Возмещение недополученных доходов и (или) финансовое обеспечение (возмещение) затрат в связи с производством (реализацией) товаров, выполнением работ, оказанием услуг (Иные бюджетные ассигнования)</t>
  </si>
  <si>
    <t>38 2 01 20960</t>
  </si>
  <si>
    <t>38 3 01 21980</t>
  </si>
  <si>
    <t>Работы по подготовке документации по установлению границ населенных пунктов (Закупка товаров, работ и услуг для обеспечения государственных (муниципальных) нужд)</t>
  </si>
  <si>
    <t>Разработка проектов планировки и (или) проектов межевания территорий (Закупка товаров, работ и услуг для обеспечения государственных (муниципальных) нужд)</t>
  </si>
  <si>
    <t>Работы по подготовке документации по установлению границ территориальных зон (Закупка товаров, работ и услуг для обеспечения государственных (муниципальных) нужд)</t>
  </si>
  <si>
    <t>03 1 04 80090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</si>
  <si>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дошкольных группах муниципальных общеобразовательных организаций(Закупка товаров, работ и услуг для обеспечения государственных (муниципальных) нужд)</t>
  </si>
  <si>
    <t>41 9 00 L5990</t>
  </si>
  <si>
    <t>0408</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</si>
  <si>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</si>
  <si>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</si>
  <si>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(Межбюджетные трансферты)</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</si>
  <si>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(Межбюджетные трансферты)</t>
  </si>
  <si>
    <t>Финансовое обеспечение на  организацию ритуальных услуг и содержание мест захоронения (Межбюджетные трансферты)</t>
  </si>
  <si>
    <t>Финансовое обеспечение на  организацию ритуальных услуг и содержание мест захоронения (Закупка товаров, работ и услуг для обеспечения государственных (муниципальных) нужд)</t>
  </si>
  <si>
    <t>03 1 02 89700</t>
  </si>
  <si>
    <t>Подготовка проектов межевания земельных участков и на проведение кадастровых работ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</si>
  <si>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основное общее и среднее общее образование в муниципальных образовательных организациях, из числа детей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</si>
  <si>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 xml:space="preserve">Исполнение обязательств по исполнительным листам (Иные бюджетные ассигнования) </t>
  </si>
  <si>
    <t>40 9 00 27770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</si>
  <si>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</si>
  <si>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02 R3031</t>
  </si>
  <si>
    <t>03 1 E2 51710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</si>
  <si>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  (Предоставление субсидий бюджетным, автономным учреждениям и иным некоммерческим организациям)</t>
  </si>
  <si>
    <t>15 1 02 S9100</t>
  </si>
  <si>
    <t>Строительство (реконструкция), капитальный ремонт и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</si>
  <si>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03 1 EВ 51792</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</si>
  <si>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</si>
  <si>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</si>
  <si>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 (Закупка товаров, работ и услуг для государственных (муниципальных) нужд)</t>
  </si>
  <si>
    <t>08 1 03 28050</t>
  </si>
  <si>
    <t>Актуализация схемы водоснабжения и водоотведения Приволжского муниципального района (Закупка товаров, работ и услуг для обеспечения государственных (муниципальных) нужд)</t>
  </si>
  <si>
    <t>Государственная экспертиза по определению достоверности сметной стоимости работ (Закупка товаров, работ и услуг для обеспечения государственных (муниципальных) нужд)</t>
  </si>
  <si>
    <t>10 2 01 26610</t>
  </si>
  <si>
    <t>10 2 01 23000</t>
  </si>
  <si>
    <t>03 1 01 81010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</si>
  <si>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</si>
  <si>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15 1 02 23190</t>
  </si>
  <si>
    <t>Ремонт тротуаров (Закупка товаров, работ и услуг для обеспечения государственных (муниципальных) нужд)</t>
  </si>
  <si>
    <t>Код раздела, подраздела</t>
  </si>
  <si>
    <t>Код целевой статьи</t>
  </si>
  <si>
    <t>Код вида расходов</t>
  </si>
  <si>
    <t>Ведомственная структура расходов бюджета Приволжского муниципального района на 2024 год и на плановый период 2025 и 2026 годов</t>
  </si>
  <si>
    <t>04 1 01 27030</t>
  </si>
  <si>
    <t>04 1 01 21940</t>
  </si>
  <si>
    <t>12 3 01 R0820</t>
  </si>
  <si>
    <t>Проведение ремонтных работ (реконструкция имущества казны) (Закупка товаров, работ и услуг для обеспечения государственных (муниципальных) нужд)</t>
  </si>
  <si>
    <t>Взносы на капитальный ремонт за муниципальный жилищный фонд (в фонд регионального оператора) (Закупка товаров, работ и услуг для обеспечения государственных (муниципальных) нужд)</t>
  </si>
  <si>
    <t>03 1 02 81090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</si>
  <si>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</si>
  <si>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2026 год</t>
  </si>
  <si>
    <t xml:space="preserve">Модернизация школьных систем образования (Закупка товаров, работ и услуг для обеспечения государственных (муниципальных) нужд) </t>
  </si>
  <si>
    <t>03 1 02 R7502</t>
  </si>
  <si>
    <t>03 1 02 S1950</t>
  </si>
  <si>
    <t>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</si>
  <si>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дополнительного образования(Предоставление субсидий бюджетным, автономным учреждениям и иным некоммерческим организациям)</t>
  </si>
  <si>
    <t>Обеспечение функционирования модели персонифицированного финансирования дополнительного образования детей(Предоставление субсидий бюджетным, автономным учреждениям и иным некоммерческим организациям)</t>
  </si>
  <si>
    <t>1103</t>
  </si>
  <si>
    <t>Приложение 5
 к решению Совета Приволжского 
муниципального района от _____.2023 № _____                                                         
  «О бюджете Приволжского муниципального района  
на 2024 год и плановый период 2025 и 2026 годов»</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</si>
  <si>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</si>
  <si>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(Предоставление субсидий бюджетным, автономным учреждениям и иным некоммерческим организациям)</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</si>
</sst>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4"/>
      <name val="Arial"/>
      <family val="2"/>
      <charset val="204"/>
    </font>
    <font>
      <sz val="12"/>
      <name val="Times New Roman"/>
      <family val="1"/>
      <charset val="204"/>
    </font>
    <font>
      <b/>
      <sz val="14"/>
      <name val="Times New Roman"/>
      <family val="1"/>
      <charset val="204"/>
    </font>
    <font>
      <sz val="10"/>
      <name val="Arial"/>
      <family val="2"/>
      <charset val="204"/>
    </font>
    <font>
      <sz val="10"/>
      <name val="Arial"/>
      <family val="2"/>
      <charset val="204"/>
    </font>
    <font>
      <sz val="10"/>
      <color rgb="FF000000"/>
      <name val="Arial Cyr"/>
    </font>
    <font>
      <sz val="11"/>
      <color rgb="FFFF0000"/>
      <name val="Calibri"/>
      <family val="2"/>
      <charset val="204"/>
      <scheme val="minor"/>
    </font>
    <font>
      <b/>
      <sz val="12"/>
      <name val="Times New Roman"/>
      <family val="1"/>
      <charset val="204"/>
    </font>
    <font>
      <sz val="11"/>
      <color theme="0"/>
      <name val="Calibri"/>
      <family val="2"/>
      <charset val="204"/>
      <scheme val="minor"/>
    </font>
    <font>
      <sz val="14"/>
      <color theme="0"/>
      <name val="Calibri"/>
      <family val="2"/>
      <charset val="204"/>
      <scheme val="minor"/>
    </font>
    <font>
      <b/>
      <sz val="10"/>
      <name val="Times New Roman"/>
      <family val="1"/>
      <charset val="204"/>
    </font>
    <font>
      <sz val="12"/>
      <color indexed="8"/>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00"/>
        <bgColor indexed="34"/>
      </patternFill>
    </fill>
    <fill>
      <patternFill patternType="solid">
        <fgColor theme="0"/>
        <bgColor indexed="64"/>
      </patternFill>
    </fill>
  </fills>
  <borders count="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5" fillId="0" borderId="0"/>
    <xf numFmtId="0" fontId="6" fillId="0" borderId="0">
      <alignment horizontal="left" wrapText="1"/>
    </xf>
  </cellStyleXfs>
  <cellXfs count="73">
    <xf numFmtId="0" fontId="0" fillId="0" borderId="0" xfId="0"/>
    <xf numFmtId="0" fontId="1" fillId="0" borderId="0" xfId="0" applyFont="1" applyAlignment="1">
      <alignment horizontal="justify" vertical="top" wrapText="1"/>
    </xf>
    <xf numFmtId="0" fontId="1" fillId="0" borderId="0" xfId="0" applyFont="1"/>
    <xf numFmtId="0" fontId="1" fillId="0" borderId="0" xfId="0" applyFont="1" applyAlignment="1">
      <alignment horizontal="right"/>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0" fillId="0" borderId="0" xfId="0" applyBorder="1"/>
    <xf numFmtId="0" fontId="7" fillId="0" borderId="0" xfId="0" applyFont="1"/>
    <xf numFmtId="0" fontId="8" fillId="2" borderId="5" xfId="0" applyFont="1" applyFill="1" applyBorder="1" applyAlignment="1">
      <alignment horizontal="justify" vertical="top" wrapText="1"/>
    </xf>
    <xf numFmtId="4" fontId="10" fillId="0" borderId="0" xfId="0" applyNumberFormat="1" applyFont="1"/>
    <xf numFmtId="4" fontId="9" fillId="0" borderId="0" xfId="0" applyNumberFormat="1" applyFont="1"/>
    <xf numFmtId="4" fontId="0" fillId="0" borderId="0" xfId="0" applyNumberForma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3" borderId="5" xfId="0" applyNumberFormat="1" applyFont="1" applyFill="1" applyBorder="1" applyAlignment="1">
      <alignment horizontal="right"/>
    </xf>
    <xf numFmtId="4" fontId="8" fillId="2" borderId="5" xfId="0" applyNumberFormat="1" applyFont="1" applyFill="1" applyBorder="1" applyAlignment="1">
      <alignment horizontal="right"/>
    </xf>
    <xf numFmtId="49" fontId="2" fillId="0" borderId="6" xfId="0" applyNumberFormat="1" applyFont="1" applyBorder="1" applyAlignment="1">
      <alignment horizontal="right"/>
    </xf>
    <xf numFmtId="4" fontId="2" fillId="0" borderId="5" xfId="0" applyNumberFormat="1" applyFont="1" applyFill="1" applyBorder="1" applyAlignment="1">
      <alignment horizontal="right"/>
    </xf>
    <xf numFmtId="49" fontId="2" fillId="0" borderId="6" xfId="0" applyNumberFormat="1" applyFont="1" applyFill="1" applyBorder="1" applyAlignment="1">
      <alignment horizontal="right"/>
    </xf>
    <xf numFmtId="49" fontId="2" fillId="0" borderId="5" xfId="0" applyNumberFormat="1" applyFont="1" applyFill="1" applyBorder="1" applyAlignment="1">
      <alignment horizontal="right"/>
    </xf>
    <xf numFmtId="49" fontId="2" fillId="0" borderId="5" xfId="0" applyNumberFormat="1" applyFont="1" applyBorder="1" applyAlignment="1">
      <alignment horizontal="right"/>
    </xf>
    <xf numFmtId="49" fontId="2" fillId="0" borderId="3" xfId="0" applyNumberFormat="1" applyFont="1" applyBorder="1" applyAlignment="1">
      <alignment horizontal="right"/>
    </xf>
    <xf numFmtId="49" fontId="2" fillId="0" borderId="3" xfId="0" applyNumberFormat="1" applyFont="1" applyFill="1" applyBorder="1" applyAlignment="1">
      <alignment horizontal="right"/>
    </xf>
    <xf numFmtId="4" fontId="2" fillId="0" borderId="3" xfId="0" applyNumberFormat="1" applyFont="1" applyFill="1" applyBorder="1" applyAlignment="1">
      <alignment horizontal="right"/>
    </xf>
    <xf numFmtId="49" fontId="8" fillId="2" borderId="5" xfId="0" applyNumberFormat="1" applyFont="1" applyFill="1" applyBorder="1" applyAlignment="1">
      <alignment horizontal="right"/>
    </xf>
    <xf numFmtId="49" fontId="8" fillId="3" borderId="5" xfId="0" applyNumberFormat="1" applyFont="1" applyFill="1" applyBorder="1" applyAlignment="1">
      <alignment horizontal="right" wrapText="1"/>
    </xf>
    <xf numFmtId="4" fontId="8" fillId="2" borderId="5" xfId="0" applyNumberFormat="1" applyFont="1" applyFill="1" applyBorder="1" applyAlignment="1">
      <alignment horizontal="right" wrapText="1"/>
    </xf>
    <xf numFmtId="0" fontId="2" fillId="0" borderId="6" xfId="0" applyFont="1" applyFill="1" applyBorder="1" applyAlignment="1">
      <alignment horizontal="right"/>
    </xf>
    <xf numFmtId="4" fontId="2" fillId="0" borderId="6" xfId="0" applyNumberFormat="1" applyFont="1" applyFill="1" applyBorder="1" applyAlignment="1">
      <alignment horizontal="right"/>
    </xf>
    <xf numFmtId="4" fontId="2" fillId="0" borderId="5" xfId="0" applyNumberFormat="1" applyFont="1" applyFill="1" applyBorder="1" applyAlignment="1">
      <alignment horizontal="right" wrapText="1"/>
    </xf>
    <xf numFmtId="49" fontId="2" fillId="0" borderId="5" xfId="0" applyNumberFormat="1" applyFont="1" applyFill="1" applyBorder="1" applyAlignment="1">
      <alignment horizontal="right" wrapText="1"/>
    </xf>
    <xf numFmtId="49" fontId="2" fillId="0" borderId="6" xfId="0" applyNumberFormat="1" applyFont="1" applyFill="1" applyBorder="1" applyAlignment="1">
      <alignment horizontal="right" wrapText="1"/>
    </xf>
    <xf numFmtId="4" fontId="2" fillId="0" borderId="6" xfId="0" applyNumberFormat="1" applyFont="1" applyFill="1" applyBorder="1" applyAlignment="1">
      <alignment horizontal="right" wrapText="1"/>
    </xf>
    <xf numFmtId="49" fontId="2" fillId="0" borderId="8" xfId="0" applyNumberFormat="1" applyFont="1" applyFill="1" applyBorder="1" applyAlignment="1">
      <alignment horizontal="right" wrapText="1"/>
    </xf>
    <xf numFmtId="0" fontId="8" fillId="2"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5"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5" xfId="1" applyFont="1" applyBorder="1" applyAlignment="1">
      <alignment horizontal="left" vertical="center" wrapText="1"/>
    </xf>
    <xf numFmtId="0" fontId="2" fillId="0" borderId="3" xfId="1"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Alignment="1">
      <alignment horizontal="left" vertical="center" wrapText="1"/>
    </xf>
    <xf numFmtId="4" fontId="2" fillId="4" borderId="6" xfId="0" applyNumberFormat="1" applyFont="1" applyFill="1" applyBorder="1" applyAlignment="1">
      <alignment horizontal="right" wrapText="1"/>
    </xf>
    <xf numFmtId="0" fontId="2" fillId="0" borderId="6" xfId="0" applyFont="1" applyBorder="1" applyAlignment="1">
      <alignment horizontal="justify"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5" xfId="1" applyFont="1" applyFill="1" applyBorder="1" applyAlignment="1">
      <alignment horizontal="left" vertical="top" wrapText="1"/>
    </xf>
    <xf numFmtId="0" fontId="2" fillId="0" borderId="0" xfId="0" applyFont="1" applyFill="1" applyAlignment="1">
      <alignment horizontal="right"/>
    </xf>
    <xf numFmtId="0" fontId="12" fillId="0" borderId="6" xfId="0" applyFont="1" applyFill="1" applyBorder="1" applyAlignment="1">
      <alignment horizontal="left" vertical="center" wrapText="1"/>
    </xf>
    <xf numFmtId="49" fontId="12" fillId="0" borderId="6" xfId="0" applyNumberFormat="1" applyFont="1" applyFill="1" applyBorder="1" applyAlignment="1">
      <alignment horizontal="right"/>
    </xf>
    <xf numFmtId="4" fontId="12" fillId="0" borderId="6" xfId="0" applyNumberFormat="1" applyFont="1" applyFill="1" applyBorder="1" applyAlignment="1">
      <alignment horizontal="right"/>
    </xf>
    <xf numFmtId="0" fontId="12" fillId="0" borderId="5" xfId="0" applyFont="1" applyFill="1" applyBorder="1" applyAlignment="1">
      <alignment horizontal="left" vertical="center" wrapText="1"/>
    </xf>
    <xf numFmtId="49" fontId="12" fillId="0" borderId="5" xfId="0" applyNumberFormat="1" applyFont="1" applyFill="1" applyBorder="1" applyAlignment="1">
      <alignment horizontal="right"/>
    </xf>
    <xf numFmtId="0" fontId="2" fillId="0" borderId="3" xfId="0" applyFont="1" applyFill="1" applyBorder="1" applyAlignment="1">
      <alignment horizontal="right"/>
    </xf>
    <xf numFmtId="0" fontId="2" fillId="0" borderId="5" xfId="0" applyFont="1" applyFill="1" applyBorder="1" applyAlignment="1">
      <alignment horizontal="right"/>
    </xf>
    <xf numFmtId="4" fontId="2" fillId="0" borderId="8" xfId="0" applyNumberFormat="1" applyFont="1" applyFill="1" applyBorder="1" applyAlignment="1">
      <alignment horizontal="right" wrapText="1"/>
    </xf>
    <xf numFmtId="49" fontId="2" fillId="0" borderId="8" xfId="0" applyNumberFormat="1" applyFont="1" applyFill="1" applyBorder="1" applyAlignment="1">
      <alignment horizontal="right"/>
    </xf>
    <xf numFmtId="0" fontId="0" fillId="0" borderId="0" xfId="0" applyFill="1"/>
    <xf numFmtId="0" fontId="2" fillId="0" borderId="3" xfId="0" applyFont="1" applyFill="1" applyBorder="1" applyAlignment="1">
      <alignment horizontal="left" vertical="top" wrapText="1"/>
    </xf>
    <xf numFmtId="0" fontId="2" fillId="0" borderId="5" xfId="0" applyFont="1" applyBorder="1" applyAlignment="1">
      <alignment horizontal="left" vertical="top" wrapText="1"/>
    </xf>
    <xf numFmtId="0" fontId="13" fillId="0" borderId="0" xfId="0" applyFont="1" applyFill="1"/>
    <xf numFmtId="0" fontId="2" fillId="0" borderId="0" xfId="0" applyFont="1" applyAlignment="1">
      <alignment horizontal="right" vertical="top" wrapText="1"/>
    </xf>
    <xf numFmtId="0" fontId="2" fillId="0" borderId="0" xfId="0" applyFont="1" applyAlignment="1">
      <alignment horizontal="right" vertical="top"/>
    </xf>
    <xf numFmtId="0" fontId="3" fillId="0" borderId="0" xfId="0" applyFont="1" applyBorder="1" applyAlignment="1">
      <alignment horizontal="center" wrapText="1"/>
    </xf>
    <xf numFmtId="0" fontId="1" fillId="0" borderId="0" xfId="0" applyFont="1" applyBorder="1" applyAlignment="1">
      <alignment wrapText="1"/>
    </xf>
    <xf numFmtId="0" fontId="11" fillId="0" borderId="2" xfId="0" applyFont="1" applyBorder="1" applyAlignment="1">
      <alignment horizontal="right" wrapText="1"/>
    </xf>
  </cellXfs>
  <cellStyles count="4">
    <cellStyle name="xl30" xfId="3"/>
    <cellStyle name="Обычный" xfId="0" builtinId="0"/>
    <cellStyle name="Обычный 2" xfId="1"/>
    <cellStyle name="Обычный 3"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9"/>
  <sheetViews>
    <sheetView tabSelected="1" topLeftCell="A136" zoomScale="80" zoomScaleNormal="80" workbookViewId="0">
      <selection activeCell="G117" sqref="G117"/>
    </sheetView>
  </sheetViews>
  <sheetFormatPr defaultColWidth="91" defaultRowHeight="15" x14ac:dyDescent="0.25"/>
  <cols>
    <col min="1" max="1" width="82.7109375" customWidth="1"/>
    <col min="2" max="2" width="9.140625" customWidth="1"/>
    <col min="3" max="3" width="13.85546875" customWidth="1"/>
    <col min="4" max="4" width="17.85546875" customWidth="1"/>
    <col min="5" max="5" width="10.140625" customWidth="1"/>
    <col min="6" max="6" width="19.42578125" customWidth="1"/>
    <col min="7" max="8" width="20.28515625" customWidth="1"/>
    <col min="9" max="9" width="8.140625" customWidth="1"/>
    <col min="10" max="10" width="14.42578125" customWidth="1"/>
    <col min="11" max="11" width="16.5703125" customWidth="1"/>
  </cols>
  <sheetData>
    <row r="1" spans="1:14" ht="84.75" customHeight="1" x14ac:dyDescent="0.25">
      <c r="A1" s="1"/>
      <c r="B1" s="2"/>
      <c r="C1" s="2"/>
      <c r="D1" s="3"/>
      <c r="E1" s="2"/>
      <c r="F1" s="68" t="s">
        <v>278</v>
      </c>
      <c r="G1" s="69"/>
      <c r="H1" s="69"/>
    </row>
    <row r="2" spans="1:14" ht="36" customHeight="1" x14ac:dyDescent="0.3">
      <c r="A2" s="70" t="s">
        <v>262</v>
      </c>
      <c r="B2" s="71"/>
      <c r="C2" s="71"/>
      <c r="D2" s="71"/>
      <c r="E2" s="71"/>
      <c r="F2" s="71"/>
      <c r="G2" s="71"/>
      <c r="H2" s="71"/>
    </row>
    <row r="3" spans="1:14" ht="19.5" x14ac:dyDescent="0.25">
      <c r="A3" s="4"/>
      <c r="B3" s="5"/>
      <c r="C3" s="5"/>
      <c r="D3" s="5"/>
      <c r="E3" s="5"/>
      <c r="F3" s="5"/>
      <c r="G3" s="72" t="s">
        <v>0</v>
      </c>
      <c r="H3" s="72"/>
      <c r="I3" s="6"/>
    </row>
    <row r="4" spans="1:14" ht="47.25" x14ac:dyDescent="0.25">
      <c r="A4" s="12" t="s">
        <v>1</v>
      </c>
      <c r="B4" s="12" t="s">
        <v>2</v>
      </c>
      <c r="C4" s="12" t="s">
        <v>259</v>
      </c>
      <c r="D4" s="12" t="s">
        <v>260</v>
      </c>
      <c r="E4" s="12" t="s">
        <v>261</v>
      </c>
      <c r="F4" s="13" t="s">
        <v>193</v>
      </c>
      <c r="G4" s="14" t="s">
        <v>217</v>
      </c>
      <c r="H4" s="14" t="s">
        <v>270</v>
      </c>
    </row>
    <row r="5" spans="1:14" ht="31.5" x14ac:dyDescent="0.25">
      <c r="A5" s="35" t="s">
        <v>3</v>
      </c>
      <c r="B5" s="15" t="s">
        <v>4</v>
      </c>
      <c r="C5" s="15"/>
      <c r="D5" s="15"/>
      <c r="E5" s="15"/>
      <c r="F5" s="16">
        <f>SUM(F6:F62)</f>
        <v>444508179.60999995</v>
      </c>
      <c r="G5" s="16">
        <f>SUM(G6:G62)</f>
        <v>429624202.12000006</v>
      </c>
      <c r="H5" s="16">
        <f>SUM(H6:H62)</f>
        <v>470413819.12</v>
      </c>
      <c r="L5" s="11"/>
      <c r="M5" s="11"/>
      <c r="N5" s="11"/>
    </row>
    <row r="6" spans="1:14" ht="63" x14ac:dyDescent="0.25">
      <c r="A6" s="36" t="s">
        <v>199</v>
      </c>
      <c r="B6" s="19" t="s">
        <v>4</v>
      </c>
      <c r="C6" s="19" t="s">
        <v>6</v>
      </c>
      <c r="D6" s="19" t="s">
        <v>200</v>
      </c>
      <c r="E6" s="19" t="s">
        <v>8</v>
      </c>
      <c r="F6" s="18">
        <f>1158669+122482+353656.36</f>
        <v>1634807.3599999999</v>
      </c>
      <c r="G6" s="18">
        <f>1158669+98700+353656.36</f>
        <v>1611025.3599999999</v>
      </c>
      <c r="H6" s="18">
        <f>1158669+98700+353656.36</f>
        <v>1611025.3599999999</v>
      </c>
    </row>
    <row r="7" spans="1:14" ht="31.5" x14ac:dyDescent="0.25">
      <c r="A7" s="36" t="s">
        <v>201</v>
      </c>
      <c r="B7" s="19" t="s">
        <v>4</v>
      </c>
      <c r="C7" s="19" t="s">
        <v>6</v>
      </c>
      <c r="D7" s="19" t="s">
        <v>200</v>
      </c>
      <c r="E7" s="19" t="s">
        <v>10</v>
      </c>
      <c r="F7" s="18">
        <f>13597113.64+150000</f>
        <v>13747113.640000001</v>
      </c>
      <c r="G7" s="18">
        <f>12925295.64+150000</f>
        <v>13075295.640000001</v>
      </c>
      <c r="H7" s="18">
        <f>12925295.64+150000</f>
        <v>13075295.640000001</v>
      </c>
    </row>
    <row r="8" spans="1:14" ht="31.5" x14ac:dyDescent="0.25">
      <c r="A8" s="36" t="s">
        <v>202</v>
      </c>
      <c r="B8" s="19" t="s">
        <v>4</v>
      </c>
      <c r="C8" s="19" t="s">
        <v>6</v>
      </c>
      <c r="D8" s="19" t="s">
        <v>200</v>
      </c>
      <c r="E8" s="19" t="s">
        <v>12</v>
      </c>
      <c r="F8" s="18">
        <v>141400</v>
      </c>
      <c r="G8" s="18">
        <v>141400</v>
      </c>
      <c r="H8" s="18">
        <v>141400</v>
      </c>
    </row>
    <row r="9" spans="1:14" ht="78.75" x14ac:dyDescent="0.25">
      <c r="A9" s="36" t="s">
        <v>5</v>
      </c>
      <c r="B9" s="19" t="s">
        <v>4</v>
      </c>
      <c r="C9" s="19" t="s">
        <v>6</v>
      </c>
      <c r="D9" s="19" t="s">
        <v>7</v>
      </c>
      <c r="E9" s="19" t="s">
        <v>8</v>
      </c>
      <c r="F9" s="18">
        <f>32354059.17+109860-109860+9665380.72</f>
        <v>42019439.890000001</v>
      </c>
      <c r="G9" s="18">
        <f>32354059.17+111260+9752701.35</f>
        <v>42218020.520000003</v>
      </c>
      <c r="H9" s="18">
        <f>32354059.17+111260+9752701.35</f>
        <v>42218020.520000003</v>
      </c>
    </row>
    <row r="10" spans="1:14" ht="47.25" x14ac:dyDescent="0.25">
      <c r="A10" s="36" t="s">
        <v>9</v>
      </c>
      <c r="B10" s="19" t="s">
        <v>4</v>
      </c>
      <c r="C10" s="19" t="s">
        <v>6</v>
      </c>
      <c r="D10" s="19" t="s">
        <v>7</v>
      </c>
      <c r="E10" s="19" t="s">
        <v>10</v>
      </c>
      <c r="F10" s="18">
        <f>8996779.94+16468860.5</f>
        <v>25465640.439999998</v>
      </c>
      <c r="G10" s="18">
        <f>21279241.17+27892126.15-30000000-5000000-1929028.79-70000-19110</f>
        <v>12153228.530000001</v>
      </c>
      <c r="H10" s="18">
        <f>21279241.17+27892126.15-30000000-5000000-3441611.56-50000-223423.59</f>
        <v>10456332.17</v>
      </c>
    </row>
    <row r="11" spans="1:14" ht="31.5" x14ac:dyDescent="0.25">
      <c r="A11" s="36" t="s">
        <v>11</v>
      </c>
      <c r="B11" s="19" t="s">
        <v>4</v>
      </c>
      <c r="C11" s="19" t="s">
        <v>6</v>
      </c>
      <c r="D11" s="19" t="s">
        <v>7</v>
      </c>
      <c r="E11" s="19" t="s">
        <v>12</v>
      </c>
      <c r="F11" s="29">
        <f>439765+8000-8000</f>
        <v>439765</v>
      </c>
      <c r="G11" s="29">
        <f>429177+9000</f>
        <v>438177</v>
      </c>
      <c r="H11" s="29">
        <f>429177+9000</f>
        <v>438177</v>
      </c>
    </row>
    <row r="12" spans="1:14" ht="141.75" x14ac:dyDescent="0.25">
      <c r="A12" s="36" t="s">
        <v>179</v>
      </c>
      <c r="B12" s="19" t="s">
        <v>4</v>
      </c>
      <c r="C12" s="19" t="s">
        <v>6</v>
      </c>
      <c r="D12" s="19" t="s">
        <v>13</v>
      </c>
      <c r="E12" s="19" t="s">
        <v>8</v>
      </c>
      <c r="F12" s="29">
        <f>52215985.41+15769227.59</f>
        <v>67985213</v>
      </c>
      <c r="G12" s="29">
        <f>52983594.47+16001045.53</f>
        <v>68984640</v>
      </c>
      <c r="H12" s="29">
        <f>52983594.47+16001045.53</f>
        <v>68984640</v>
      </c>
    </row>
    <row r="13" spans="1:14" ht="110.25" x14ac:dyDescent="0.25">
      <c r="A13" s="36" t="s">
        <v>180</v>
      </c>
      <c r="B13" s="19" t="s">
        <v>4</v>
      </c>
      <c r="C13" s="19" t="s">
        <v>6</v>
      </c>
      <c r="D13" s="19" t="s">
        <v>13</v>
      </c>
      <c r="E13" s="19" t="s">
        <v>10</v>
      </c>
      <c r="F13" s="29">
        <v>347655</v>
      </c>
      <c r="G13" s="29">
        <v>347655</v>
      </c>
      <c r="H13" s="29">
        <v>347655</v>
      </c>
    </row>
    <row r="14" spans="1:14" ht="78.75" x14ac:dyDescent="0.25">
      <c r="A14" s="36" t="s">
        <v>249</v>
      </c>
      <c r="B14" s="19" t="s">
        <v>4</v>
      </c>
      <c r="C14" s="19" t="s">
        <v>6</v>
      </c>
      <c r="D14" s="19" t="s">
        <v>248</v>
      </c>
      <c r="E14" s="19" t="s">
        <v>10</v>
      </c>
      <c r="F14" s="29">
        <f>8000000+421052.63</f>
        <v>8421052.6300000008</v>
      </c>
      <c r="G14" s="29">
        <v>0</v>
      </c>
      <c r="H14" s="29">
        <v>0</v>
      </c>
    </row>
    <row r="15" spans="1:14" ht="141.75" x14ac:dyDescent="0.25">
      <c r="A15" s="38" t="s">
        <v>14</v>
      </c>
      <c r="B15" s="17" t="s">
        <v>4</v>
      </c>
      <c r="C15" s="17" t="s">
        <v>6</v>
      </c>
      <c r="D15" s="17" t="s">
        <v>15</v>
      </c>
      <c r="E15" s="17" t="s">
        <v>8</v>
      </c>
      <c r="F15" s="29">
        <f>148000+44696</f>
        <v>192696</v>
      </c>
      <c r="G15" s="29">
        <f t="shared" ref="G15:H15" si="0">148000+44696</f>
        <v>192696</v>
      </c>
      <c r="H15" s="29">
        <f t="shared" si="0"/>
        <v>192696</v>
      </c>
    </row>
    <row r="16" spans="1:14" ht="126" x14ac:dyDescent="0.25">
      <c r="A16" s="38" t="s">
        <v>16</v>
      </c>
      <c r="B16" s="17" t="s">
        <v>4</v>
      </c>
      <c r="C16" s="17" t="s">
        <v>6</v>
      </c>
      <c r="D16" s="17" t="s">
        <v>15</v>
      </c>
      <c r="E16" s="17" t="s">
        <v>10</v>
      </c>
      <c r="F16" s="29">
        <v>261984</v>
      </c>
      <c r="G16" s="29">
        <v>261984</v>
      </c>
      <c r="H16" s="29">
        <v>261984</v>
      </c>
    </row>
    <row r="17" spans="1:8" ht="47.25" x14ac:dyDescent="0.25">
      <c r="A17" s="39" t="s">
        <v>17</v>
      </c>
      <c r="B17" s="20" t="s">
        <v>4</v>
      </c>
      <c r="C17" s="20" t="s">
        <v>6</v>
      </c>
      <c r="D17" s="20" t="s">
        <v>18</v>
      </c>
      <c r="E17" s="20" t="s">
        <v>10</v>
      </c>
      <c r="F17" s="18">
        <f>2260596-2260596+1539776</f>
        <v>1539776</v>
      </c>
      <c r="G17" s="18">
        <f>2017876-2017876</f>
        <v>0</v>
      </c>
      <c r="H17" s="18">
        <f>2017876-2017876</f>
        <v>0</v>
      </c>
    </row>
    <row r="18" spans="1:8" ht="31.5" x14ac:dyDescent="0.25">
      <c r="A18" s="40" t="s">
        <v>19</v>
      </c>
      <c r="B18" s="20" t="s">
        <v>4</v>
      </c>
      <c r="C18" s="20" t="s">
        <v>6</v>
      </c>
      <c r="D18" s="20" t="s">
        <v>20</v>
      </c>
      <c r="E18" s="20" t="s">
        <v>10</v>
      </c>
      <c r="F18" s="18">
        <f>285000+340000</f>
        <v>625000</v>
      </c>
      <c r="G18" s="18">
        <f>2636000-2636000</f>
        <v>0</v>
      </c>
      <c r="H18" s="18">
        <f>2370000-2370000</f>
        <v>0</v>
      </c>
    </row>
    <row r="19" spans="1:8" ht="31.5" x14ac:dyDescent="0.25">
      <c r="A19" s="40" t="s">
        <v>21</v>
      </c>
      <c r="B19" s="20" t="s">
        <v>4</v>
      </c>
      <c r="C19" s="20" t="s">
        <v>6</v>
      </c>
      <c r="D19" s="20" t="s">
        <v>22</v>
      </c>
      <c r="E19" s="20" t="s">
        <v>10</v>
      </c>
      <c r="F19" s="18">
        <f>1648340-329300</f>
        <v>1319040</v>
      </c>
      <c r="G19" s="18">
        <v>1293390</v>
      </c>
      <c r="H19" s="18">
        <v>1293390</v>
      </c>
    </row>
    <row r="20" spans="1:8" ht="63" x14ac:dyDescent="0.25">
      <c r="A20" s="36" t="s">
        <v>199</v>
      </c>
      <c r="B20" s="19" t="s">
        <v>4</v>
      </c>
      <c r="C20" s="19" t="s">
        <v>23</v>
      </c>
      <c r="D20" s="19" t="s">
        <v>203</v>
      </c>
      <c r="E20" s="19" t="s">
        <v>8</v>
      </c>
      <c r="F20" s="29">
        <f>66675+20135</f>
        <v>86810</v>
      </c>
      <c r="G20" s="29">
        <f t="shared" ref="G20:H20" si="1">66675+20135</f>
        <v>86810</v>
      </c>
      <c r="H20" s="29">
        <f t="shared" si="1"/>
        <v>86810</v>
      </c>
    </row>
    <row r="21" spans="1:8" ht="31.5" x14ac:dyDescent="0.25">
      <c r="A21" s="36" t="s">
        <v>201</v>
      </c>
      <c r="B21" s="19" t="s">
        <v>4</v>
      </c>
      <c r="C21" s="19" t="s">
        <v>23</v>
      </c>
      <c r="D21" s="19" t="s">
        <v>203</v>
      </c>
      <c r="E21" s="19" t="s">
        <v>10</v>
      </c>
      <c r="F21" s="18">
        <v>1970950</v>
      </c>
      <c r="G21" s="18">
        <v>1967850</v>
      </c>
      <c r="H21" s="18">
        <v>1967850</v>
      </c>
    </row>
    <row r="22" spans="1:8" ht="78.75" x14ac:dyDescent="0.25">
      <c r="A22" s="40" t="s">
        <v>24</v>
      </c>
      <c r="B22" s="20" t="s">
        <v>4</v>
      </c>
      <c r="C22" s="20" t="s">
        <v>23</v>
      </c>
      <c r="D22" s="20" t="s">
        <v>25</v>
      </c>
      <c r="E22" s="20" t="s">
        <v>8</v>
      </c>
      <c r="F22" s="18">
        <f>10888786.62+127400+3288411.56-127400</f>
        <v>14177198.18</v>
      </c>
      <c r="G22" s="18">
        <f t="shared" ref="G22:H22" si="2">10888786.62+127400+3288411.56</f>
        <v>14304598.18</v>
      </c>
      <c r="H22" s="18">
        <f t="shared" si="2"/>
        <v>14304598.18</v>
      </c>
    </row>
    <row r="23" spans="1:8" ht="47.25" x14ac:dyDescent="0.25">
      <c r="A23" s="40" t="s">
        <v>26</v>
      </c>
      <c r="B23" s="20" t="s">
        <v>4</v>
      </c>
      <c r="C23" s="20" t="s">
        <v>23</v>
      </c>
      <c r="D23" s="20" t="s">
        <v>25</v>
      </c>
      <c r="E23" s="20" t="s">
        <v>10</v>
      </c>
      <c r="F23" s="18">
        <f>7336380+15522107.04</f>
        <v>22858487.039999999</v>
      </c>
      <c r="G23" s="18">
        <f>6244072.2+12615220+25207590-34000000</f>
        <v>10066882.200000003</v>
      </c>
      <c r="H23" s="18">
        <f>8715535.99+12615220+25207590-36000000</f>
        <v>10538345.990000002</v>
      </c>
    </row>
    <row r="24" spans="1:8" ht="33.75" customHeight="1" x14ac:dyDescent="0.25">
      <c r="A24" s="40" t="s">
        <v>27</v>
      </c>
      <c r="B24" s="20" t="s">
        <v>4</v>
      </c>
      <c r="C24" s="20" t="s">
        <v>23</v>
      </c>
      <c r="D24" s="20" t="s">
        <v>25</v>
      </c>
      <c r="E24" s="20" t="s">
        <v>12</v>
      </c>
      <c r="F24" s="18">
        <f>1125550+5000-5000</f>
        <v>1125550</v>
      </c>
      <c r="G24" s="18">
        <f>1124850+6000</f>
        <v>1130850</v>
      </c>
      <c r="H24" s="18">
        <f>1124850+6000</f>
        <v>1130850</v>
      </c>
    </row>
    <row r="25" spans="1:8" ht="173.25" x14ac:dyDescent="0.25">
      <c r="A25" s="37" t="s">
        <v>184</v>
      </c>
      <c r="B25" s="21" t="s">
        <v>4</v>
      </c>
      <c r="C25" s="21" t="s">
        <v>23</v>
      </c>
      <c r="D25" s="21" t="s">
        <v>28</v>
      </c>
      <c r="E25" s="21" t="s">
        <v>8</v>
      </c>
      <c r="F25" s="18">
        <f>63679151.31+19231103.69</f>
        <v>82910255</v>
      </c>
      <c r="G25" s="18">
        <f>64555415.51+19495735.49</f>
        <v>84051151</v>
      </c>
      <c r="H25" s="18">
        <f>64555415.51+19495735.49</f>
        <v>84051151</v>
      </c>
    </row>
    <row r="26" spans="1:8" ht="141.75" x14ac:dyDescent="0.25">
      <c r="A26" s="37" t="s">
        <v>185</v>
      </c>
      <c r="B26" s="21" t="s">
        <v>4</v>
      </c>
      <c r="C26" s="21" t="s">
        <v>23</v>
      </c>
      <c r="D26" s="21" t="s">
        <v>28</v>
      </c>
      <c r="E26" s="21" t="s">
        <v>10</v>
      </c>
      <c r="F26" s="18">
        <v>2209693</v>
      </c>
      <c r="G26" s="18">
        <v>2209693</v>
      </c>
      <c r="H26" s="18">
        <v>2209693</v>
      </c>
    </row>
    <row r="27" spans="1:8" ht="141.75" x14ac:dyDescent="0.25">
      <c r="A27" s="41" t="s">
        <v>29</v>
      </c>
      <c r="B27" s="22" t="s">
        <v>4</v>
      </c>
      <c r="C27" s="22" t="s">
        <v>23</v>
      </c>
      <c r="D27" s="22" t="s">
        <v>30</v>
      </c>
      <c r="E27" s="22" t="s">
        <v>31</v>
      </c>
      <c r="F27" s="24">
        <v>1862516</v>
      </c>
      <c r="G27" s="24">
        <v>1886573</v>
      </c>
      <c r="H27" s="24">
        <v>1886573</v>
      </c>
    </row>
    <row r="28" spans="1:8" ht="167.25" customHeight="1" x14ac:dyDescent="0.25">
      <c r="A28" s="52" t="s">
        <v>269</v>
      </c>
      <c r="B28" s="20" t="s">
        <v>4</v>
      </c>
      <c r="C28" s="20" t="s">
        <v>23</v>
      </c>
      <c r="D28" s="20" t="s">
        <v>268</v>
      </c>
      <c r="E28" s="20" t="s">
        <v>8</v>
      </c>
      <c r="F28" s="18">
        <v>4452840</v>
      </c>
      <c r="G28" s="18">
        <v>4405968</v>
      </c>
      <c r="H28" s="18">
        <v>4405968</v>
      </c>
    </row>
    <row r="29" spans="1:8" ht="274.5" customHeight="1" x14ac:dyDescent="0.25">
      <c r="A29" s="36" t="s">
        <v>237</v>
      </c>
      <c r="B29" s="23" t="s">
        <v>4</v>
      </c>
      <c r="C29" s="23" t="s">
        <v>23</v>
      </c>
      <c r="D29" s="23" t="s">
        <v>235</v>
      </c>
      <c r="E29" s="23" t="s">
        <v>10</v>
      </c>
      <c r="F29" s="24">
        <v>326638</v>
      </c>
      <c r="G29" s="24">
        <v>339721.2</v>
      </c>
      <c r="H29" s="24">
        <v>353290.6</v>
      </c>
    </row>
    <row r="30" spans="1:8" ht="94.5" x14ac:dyDescent="0.25">
      <c r="A30" s="36" t="s">
        <v>186</v>
      </c>
      <c r="B30" s="23" t="s">
        <v>4</v>
      </c>
      <c r="C30" s="23" t="s">
        <v>23</v>
      </c>
      <c r="D30" s="23" t="s">
        <v>32</v>
      </c>
      <c r="E30" s="23" t="s">
        <v>10</v>
      </c>
      <c r="F30" s="24">
        <f>12119600+44651.16</f>
        <v>12164251.16</v>
      </c>
      <c r="G30" s="24">
        <f>12235284+57956.61</f>
        <v>12293240.609999999</v>
      </c>
      <c r="H30" s="24">
        <f>12061261.13+63480.32</f>
        <v>12124741.450000001</v>
      </c>
    </row>
    <row r="31" spans="1:8" ht="211.5" customHeight="1" x14ac:dyDescent="0.25">
      <c r="A31" s="36" t="s">
        <v>240</v>
      </c>
      <c r="B31" s="20" t="s">
        <v>4</v>
      </c>
      <c r="C31" s="20" t="s">
        <v>23</v>
      </c>
      <c r="D31" s="20" t="s">
        <v>241</v>
      </c>
      <c r="E31" s="20" t="s">
        <v>8</v>
      </c>
      <c r="F31" s="18">
        <v>7421400</v>
      </c>
      <c r="G31" s="18">
        <v>7343280</v>
      </c>
      <c r="H31" s="18">
        <v>7421400</v>
      </c>
    </row>
    <row r="32" spans="1:8" ht="31.5" x14ac:dyDescent="0.25">
      <c r="A32" s="43" t="s">
        <v>271</v>
      </c>
      <c r="B32" s="23" t="s">
        <v>4</v>
      </c>
      <c r="C32" s="23" t="s">
        <v>23</v>
      </c>
      <c r="D32" s="23" t="s">
        <v>272</v>
      </c>
      <c r="E32" s="23" t="s">
        <v>10</v>
      </c>
      <c r="F32" s="24">
        <f>70347526.89+3702501.42</f>
        <v>74050028.310000002</v>
      </c>
      <c r="G32" s="24">
        <f>91500549.45+4815818.39</f>
        <v>96316367.840000004</v>
      </c>
      <c r="H32" s="24">
        <f>125495000+6605000</f>
        <v>132100000</v>
      </c>
    </row>
    <row r="33" spans="1:8" ht="52.5" customHeight="1" x14ac:dyDescent="0.25">
      <c r="A33" s="36" t="s">
        <v>274</v>
      </c>
      <c r="B33" s="23" t="s">
        <v>4</v>
      </c>
      <c r="C33" s="23" t="s">
        <v>23</v>
      </c>
      <c r="D33" s="23" t="s">
        <v>273</v>
      </c>
      <c r="E33" s="23" t="s">
        <v>10</v>
      </c>
      <c r="F33" s="24">
        <f>400000+21052.63</f>
        <v>421052.63</v>
      </c>
      <c r="G33" s="24">
        <v>0</v>
      </c>
      <c r="H33" s="24">
        <v>0</v>
      </c>
    </row>
    <row r="34" spans="1:8" ht="94.5" x14ac:dyDescent="0.25">
      <c r="A34" s="50" t="s">
        <v>226</v>
      </c>
      <c r="B34" s="21" t="s">
        <v>4</v>
      </c>
      <c r="C34" s="21" t="s">
        <v>23</v>
      </c>
      <c r="D34" s="21" t="s">
        <v>225</v>
      </c>
      <c r="E34" s="21" t="s">
        <v>10</v>
      </c>
      <c r="F34" s="18">
        <v>50697</v>
      </c>
      <c r="G34" s="18">
        <v>50697</v>
      </c>
      <c r="H34" s="18">
        <v>50697</v>
      </c>
    </row>
    <row r="35" spans="1:8" ht="47.25" x14ac:dyDescent="0.25">
      <c r="A35" s="39" t="s">
        <v>17</v>
      </c>
      <c r="B35" s="20" t="s">
        <v>4</v>
      </c>
      <c r="C35" s="20" t="s">
        <v>23</v>
      </c>
      <c r="D35" s="20" t="s">
        <v>18</v>
      </c>
      <c r="E35" s="20" t="s">
        <v>10</v>
      </c>
      <c r="F35" s="18">
        <f>6665200-6665200+1138100</f>
        <v>1138100</v>
      </c>
      <c r="G35" s="18">
        <f>3416200-3416200</f>
        <v>0</v>
      </c>
      <c r="H35" s="18">
        <f>3416200-3416200</f>
        <v>0</v>
      </c>
    </row>
    <row r="36" spans="1:8" ht="31.5" x14ac:dyDescent="0.25">
      <c r="A36" s="43" t="s">
        <v>19</v>
      </c>
      <c r="B36" s="23" t="s">
        <v>4</v>
      </c>
      <c r="C36" s="23" t="s">
        <v>23</v>
      </c>
      <c r="D36" s="23" t="s">
        <v>20</v>
      </c>
      <c r="E36" s="23" t="s">
        <v>10</v>
      </c>
      <c r="F36" s="24">
        <f>210000</f>
        <v>210000</v>
      </c>
      <c r="G36" s="24">
        <f>9025000-9025000</f>
        <v>0</v>
      </c>
      <c r="H36" s="24">
        <f>15160000-15160000</f>
        <v>0</v>
      </c>
    </row>
    <row r="37" spans="1:8" ht="147.75" customHeight="1" x14ac:dyDescent="0.25">
      <c r="A37" s="43" t="s">
        <v>247</v>
      </c>
      <c r="B37" s="23" t="s">
        <v>4</v>
      </c>
      <c r="C37" s="23" t="s">
        <v>23</v>
      </c>
      <c r="D37" s="23" t="s">
        <v>246</v>
      </c>
      <c r="E37" s="23" t="s">
        <v>8</v>
      </c>
      <c r="F37" s="24">
        <v>1370274.84</v>
      </c>
      <c r="G37" s="24">
        <v>1370274.84</v>
      </c>
      <c r="H37" s="24">
        <v>1526994.96</v>
      </c>
    </row>
    <row r="38" spans="1:8" ht="76.5" customHeight="1" x14ac:dyDescent="0.25">
      <c r="A38" s="43" t="s">
        <v>33</v>
      </c>
      <c r="B38" s="23" t="s">
        <v>4</v>
      </c>
      <c r="C38" s="23" t="s">
        <v>23</v>
      </c>
      <c r="D38" s="23" t="s">
        <v>34</v>
      </c>
      <c r="E38" s="23" t="s">
        <v>8</v>
      </c>
      <c r="F38" s="24">
        <f>25000+7550</f>
        <v>32550</v>
      </c>
      <c r="G38" s="24"/>
      <c r="H38" s="24"/>
    </row>
    <row r="39" spans="1:8" ht="47.25" x14ac:dyDescent="0.25">
      <c r="A39" s="44" t="s">
        <v>35</v>
      </c>
      <c r="B39" s="23" t="s">
        <v>4</v>
      </c>
      <c r="C39" s="23" t="s">
        <v>23</v>
      </c>
      <c r="D39" s="23" t="s">
        <v>36</v>
      </c>
      <c r="E39" s="23" t="s">
        <v>10</v>
      </c>
      <c r="F39" s="24">
        <f>68000</f>
        <v>68000</v>
      </c>
      <c r="G39" s="24">
        <v>70000</v>
      </c>
      <c r="H39" s="24">
        <v>70000</v>
      </c>
    </row>
    <row r="40" spans="1:8" ht="31.5" x14ac:dyDescent="0.25">
      <c r="A40" s="44" t="s">
        <v>21</v>
      </c>
      <c r="B40" s="23" t="s">
        <v>4</v>
      </c>
      <c r="C40" s="23" t="s">
        <v>23</v>
      </c>
      <c r="D40" s="23" t="s">
        <v>22</v>
      </c>
      <c r="E40" s="23" t="s">
        <v>10</v>
      </c>
      <c r="F40" s="24">
        <v>808900</v>
      </c>
      <c r="G40" s="24">
        <v>997700</v>
      </c>
      <c r="H40" s="24">
        <v>997700</v>
      </c>
    </row>
    <row r="41" spans="1:8" ht="58.5" customHeight="1" x14ac:dyDescent="0.25">
      <c r="A41" s="43" t="s">
        <v>215</v>
      </c>
      <c r="B41" s="23" t="s">
        <v>4</v>
      </c>
      <c r="C41" s="23" t="s">
        <v>37</v>
      </c>
      <c r="D41" s="23" t="s">
        <v>214</v>
      </c>
      <c r="E41" s="23" t="s">
        <v>31</v>
      </c>
      <c r="F41" s="24">
        <f>4723602</f>
        <v>4723602</v>
      </c>
      <c r="G41" s="24">
        <f>4929553+28280+28280+28280</f>
        <v>5014393</v>
      </c>
      <c r="H41" s="24">
        <f>5194510+29800+29800+29800</f>
        <v>5283910</v>
      </c>
    </row>
    <row r="42" spans="1:8" ht="47.25" x14ac:dyDescent="0.25">
      <c r="A42" s="43" t="s">
        <v>216</v>
      </c>
      <c r="B42" s="23" t="s">
        <v>4</v>
      </c>
      <c r="C42" s="23" t="s">
        <v>37</v>
      </c>
      <c r="D42" s="23" t="s">
        <v>214</v>
      </c>
      <c r="E42" s="23" t="s">
        <v>12</v>
      </c>
      <c r="F42" s="24">
        <f>28434</f>
        <v>28434</v>
      </c>
      <c r="G42" s="24">
        <f>30184</f>
        <v>30184</v>
      </c>
      <c r="H42" s="24">
        <f>31807</f>
        <v>31807</v>
      </c>
    </row>
    <row r="43" spans="1:8" ht="47.25" x14ac:dyDescent="0.25">
      <c r="A43" s="44" t="s">
        <v>160</v>
      </c>
      <c r="B43" s="23" t="s">
        <v>4</v>
      </c>
      <c r="C43" s="23" t="s">
        <v>37</v>
      </c>
      <c r="D43" s="23" t="s">
        <v>38</v>
      </c>
      <c r="E43" s="23" t="s">
        <v>31</v>
      </c>
      <c r="F43" s="24">
        <f>4151499.6</f>
        <v>4151499.6</v>
      </c>
      <c r="G43" s="24">
        <f t="shared" ref="G43:H43" si="3">4151499.6</f>
        <v>4151499.6</v>
      </c>
      <c r="H43" s="24">
        <f t="shared" si="3"/>
        <v>4151499.6</v>
      </c>
    </row>
    <row r="44" spans="1:8" ht="94.5" x14ac:dyDescent="0.25">
      <c r="A44" s="37" t="s">
        <v>243</v>
      </c>
      <c r="B44" s="23" t="s">
        <v>4</v>
      </c>
      <c r="C44" s="23" t="s">
        <v>37</v>
      </c>
      <c r="D44" s="23" t="s">
        <v>242</v>
      </c>
      <c r="E44" s="23" t="s">
        <v>31</v>
      </c>
      <c r="F44" s="24">
        <f>119192+12</f>
        <v>119204</v>
      </c>
      <c r="G44" s="24">
        <v>0</v>
      </c>
      <c r="H44" s="24">
        <v>0</v>
      </c>
    </row>
    <row r="45" spans="1:8" ht="47.25" x14ac:dyDescent="0.25">
      <c r="A45" s="40" t="s">
        <v>42</v>
      </c>
      <c r="B45" s="21" t="s">
        <v>4</v>
      </c>
      <c r="C45" s="21" t="s">
        <v>43</v>
      </c>
      <c r="D45" s="21" t="s">
        <v>25</v>
      </c>
      <c r="E45" s="21" t="s">
        <v>31</v>
      </c>
      <c r="F45" s="18">
        <f>11036330.51</f>
        <v>11036330.51</v>
      </c>
      <c r="G45" s="18">
        <f>10041963.22</f>
        <v>10041963.220000001</v>
      </c>
      <c r="H45" s="18">
        <f>15767599.02</f>
        <v>15767599.02</v>
      </c>
    </row>
    <row r="46" spans="1:8" ht="31.5" x14ac:dyDescent="0.25">
      <c r="A46" s="42" t="s">
        <v>44</v>
      </c>
      <c r="B46" s="21" t="s">
        <v>4</v>
      </c>
      <c r="C46" s="21" t="s">
        <v>43</v>
      </c>
      <c r="D46" s="21" t="s">
        <v>45</v>
      </c>
      <c r="E46" s="21" t="s">
        <v>10</v>
      </c>
      <c r="F46" s="18">
        <v>180000</v>
      </c>
      <c r="G46" s="18">
        <v>180000</v>
      </c>
      <c r="H46" s="18">
        <v>180000</v>
      </c>
    </row>
    <row r="47" spans="1:8" ht="31.5" x14ac:dyDescent="0.25">
      <c r="A47" s="42" t="s">
        <v>46</v>
      </c>
      <c r="B47" s="21" t="s">
        <v>4</v>
      </c>
      <c r="C47" s="21" t="s">
        <v>43</v>
      </c>
      <c r="D47" s="21" t="s">
        <v>45</v>
      </c>
      <c r="E47" s="21" t="s">
        <v>47</v>
      </c>
      <c r="F47" s="18">
        <v>120000</v>
      </c>
      <c r="G47" s="18">
        <v>120000</v>
      </c>
      <c r="H47" s="18">
        <v>120000</v>
      </c>
    </row>
    <row r="48" spans="1:8" ht="63" x14ac:dyDescent="0.25">
      <c r="A48" s="42" t="s">
        <v>33</v>
      </c>
      <c r="B48" s="21" t="s">
        <v>4</v>
      </c>
      <c r="C48" s="21" t="s">
        <v>43</v>
      </c>
      <c r="D48" s="21" t="s">
        <v>34</v>
      </c>
      <c r="E48" s="21" t="s">
        <v>8</v>
      </c>
      <c r="F48" s="18">
        <f>136710</f>
        <v>136710</v>
      </c>
      <c r="G48" s="18">
        <f t="shared" ref="G48:H48" si="4">169260</f>
        <v>169260</v>
      </c>
      <c r="H48" s="18">
        <f t="shared" si="4"/>
        <v>169260</v>
      </c>
    </row>
    <row r="49" spans="1:11" ht="36" customHeight="1" x14ac:dyDescent="0.25">
      <c r="A49" s="53" t="s">
        <v>48</v>
      </c>
      <c r="B49" s="20" t="s">
        <v>4</v>
      </c>
      <c r="C49" s="20" t="s">
        <v>43</v>
      </c>
      <c r="D49" s="20" t="s">
        <v>34</v>
      </c>
      <c r="E49" s="20" t="s">
        <v>10</v>
      </c>
      <c r="F49" s="18">
        <v>2740</v>
      </c>
      <c r="G49" s="18">
        <v>2740</v>
      </c>
      <c r="H49" s="18">
        <v>2740</v>
      </c>
    </row>
    <row r="50" spans="1:11" ht="70.5" customHeight="1" x14ac:dyDescent="0.25">
      <c r="A50" s="51" t="s">
        <v>212</v>
      </c>
      <c r="B50" s="20" t="s">
        <v>4</v>
      </c>
      <c r="C50" s="20" t="s">
        <v>43</v>
      </c>
      <c r="D50" s="20" t="s">
        <v>39</v>
      </c>
      <c r="E50" s="20" t="s">
        <v>8</v>
      </c>
      <c r="F50" s="18">
        <f>207373.27+62626.73</f>
        <v>270000</v>
      </c>
      <c r="G50" s="18">
        <f t="shared" ref="G50:H50" si="5">207373.27+62626.73</f>
        <v>270000</v>
      </c>
      <c r="H50" s="18">
        <f t="shared" si="5"/>
        <v>270000</v>
      </c>
    </row>
    <row r="51" spans="1:11" ht="51.75" customHeight="1" x14ac:dyDescent="0.25">
      <c r="A51" s="51" t="s">
        <v>279</v>
      </c>
      <c r="B51" s="20" t="s">
        <v>4</v>
      </c>
      <c r="C51" s="20" t="s">
        <v>43</v>
      </c>
      <c r="D51" s="20" t="s">
        <v>40</v>
      </c>
      <c r="E51" s="20" t="s">
        <v>10</v>
      </c>
      <c r="F51" s="18">
        <f>78474+40806</f>
        <v>119280</v>
      </c>
      <c r="G51" s="18">
        <f>78474+40806</f>
        <v>119280</v>
      </c>
      <c r="H51" s="18">
        <f>78474+40806</f>
        <v>119280</v>
      </c>
    </row>
    <row r="52" spans="1:11" ht="54.75" customHeight="1" x14ac:dyDescent="0.25">
      <c r="A52" s="51" t="s">
        <v>280</v>
      </c>
      <c r="B52" s="20" t="s">
        <v>4</v>
      </c>
      <c r="C52" s="20" t="s">
        <v>43</v>
      </c>
      <c r="D52" s="20" t="s">
        <v>40</v>
      </c>
      <c r="E52" s="20" t="s">
        <v>31</v>
      </c>
      <c r="F52" s="18">
        <f>667026+346854</f>
        <v>1013880</v>
      </c>
      <c r="G52" s="18">
        <f>667026+346854</f>
        <v>1013880</v>
      </c>
      <c r="H52" s="18">
        <f>667026+346854</f>
        <v>1013880</v>
      </c>
    </row>
    <row r="53" spans="1:11" ht="66.75" customHeight="1" x14ac:dyDescent="0.25">
      <c r="A53" s="51" t="s">
        <v>204</v>
      </c>
      <c r="B53" s="20" t="s">
        <v>4</v>
      </c>
      <c r="C53" s="20" t="s">
        <v>43</v>
      </c>
      <c r="D53" s="20" t="s">
        <v>41</v>
      </c>
      <c r="E53" s="20" t="s">
        <v>31</v>
      </c>
      <c r="F53" s="18">
        <v>59640</v>
      </c>
      <c r="G53" s="18">
        <v>59640</v>
      </c>
      <c r="H53" s="18">
        <v>59640</v>
      </c>
    </row>
    <row r="54" spans="1:11" ht="33.75" customHeight="1" x14ac:dyDescent="0.25">
      <c r="A54" s="53" t="s">
        <v>21</v>
      </c>
      <c r="B54" s="20" t="s">
        <v>4</v>
      </c>
      <c r="C54" s="20" t="s">
        <v>43</v>
      </c>
      <c r="D54" s="20" t="s">
        <v>22</v>
      </c>
      <c r="E54" s="20" t="s">
        <v>10</v>
      </c>
      <c r="F54" s="18">
        <v>22660</v>
      </c>
      <c r="G54" s="18">
        <v>22660</v>
      </c>
      <c r="H54" s="18">
        <v>22660</v>
      </c>
    </row>
    <row r="55" spans="1:11" ht="81" customHeight="1" x14ac:dyDescent="0.25">
      <c r="A55" s="51" t="s">
        <v>50</v>
      </c>
      <c r="B55" s="20" t="s">
        <v>4</v>
      </c>
      <c r="C55" s="20" t="s">
        <v>43</v>
      </c>
      <c r="D55" s="20" t="s">
        <v>51</v>
      </c>
      <c r="E55" s="20" t="s">
        <v>8</v>
      </c>
      <c r="F55" s="18">
        <f>12340802+3726922</f>
        <v>16067724</v>
      </c>
      <c r="G55" s="18">
        <f t="shared" ref="G55:H55" si="6">12340802+3726922</f>
        <v>16067724</v>
      </c>
      <c r="H55" s="18">
        <f t="shared" si="6"/>
        <v>16067724</v>
      </c>
    </row>
    <row r="56" spans="1:11" ht="51.75" customHeight="1" x14ac:dyDescent="0.25">
      <c r="A56" s="51" t="s">
        <v>52</v>
      </c>
      <c r="B56" s="20" t="s">
        <v>4</v>
      </c>
      <c r="C56" s="20" t="s">
        <v>43</v>
      </c>
      <c r="D56" s="20" t="s">
        <v>51</v>
      </c>
      <c r="E56" s="20" t="s">
        <v>10</v>
      </c>
      <c r="F56" s="18">
        <f>1685723+626752</f>
        <v>2312475</v>
      </c>
      <c r="G56" s="18">
        <f>1601099+650870</f>
        <v>2251969</v>
      </c>
      <c r="H56" s="18">
        <f>1601099+650870</f>
        <v>2251969</v>
      </c>
    </row>
    <row r="57" spans="1:11" ht="36" customHeight="1" x14ac:dyDescent="0.25">
      <c r="A57" s="65" t="s">
        <v>53</v>
      </c>
      <c r="B57" s="23" t="s">
        <v>4</v>
      </c>
      <c r="C57" s="23" t="s">
        <v>43</v>
      </c>
      <c r="D57" s="20" t="s">
        <v>51</v>
      </c>
      <c r="E57" s="23" t="s">
        <v>12</v>
      </c>
      <c r="F57" s="24">
        <v>1940</v>
      </c>
      <c r="G57" s="24">
        <v>1940</v>
      </c>
      <c r="H57" s="24">
        <v>1940</v>
      </c>
    </row>
    <row r="58" spans="1:11" ht="293.25" customHeight="1" x14ac:dyDescent="0.25">
      <c r="A58" s="65" t="s">
        <v>256</v>
      </c>
      <c r="B58" s="23" t="s">
        <v>4</v>
      </c>
      <c r="C58" s="23" t="s">
        <v>55</v>
      </c>
      <c r="D58" s="20" t="s">
        <v>255</v>
      </c>
      <c r="E58" s="23" t="s">
        <v>10</v>
      </c>
      <c r="F58" s="24">
        <v>722181.25</v>
      </c>
      <c r="G58" s="24">
        <v>885806.25</v>
      </c>
      <c r="H58" s="24">
        <v>995137.5</v>
      </c>
    </row>
    <row r="59" spans="1:11" ht="81.75" customHeight="1" x14ac:dyDescent="0.25">
      <c r="A59" s="66" t="s">
        <v>54</v>
      </c>
      <c r="B59" s="21" t="s">
        <v>4</v>
      </c>
      <c r="C59" s="21" t="s">
        <v>55</v>
      </c>
      <c r="D59" s="21" t="s">
        <v>56</v>
      </c>
      <c r="E59" s="21" t="s">
        <v>47</v>
      </c>
      <c r="F59" s="24">
        <v>1530194.97</v>
      </c>
      <c r="G59" s="24">
        <v>1530194.97</v>
      </c>
      <c r="H59" s="24">
        <v>1530194.97</v>
      </c>
    </row>
    <row r="60" spans="1:11" ht="47.25" x14ac:dyDescent="0.3">
      <c r="A60" s="51" t="s">
        <v>276</v>
      </c>
      <c r="B60" s="20" t="s">
        <v>4</v>
      </c>
      <c r="C60" s="20" t="s">
        <v>57</v>
      </c>
      <c r="D60" s="20" t="s">
        <v>214</v>
      </c>
      <c r="E60" s="20" t="s">
        <v>31</v>
      </c>
      <c r="F60" s="18">
        <v>795744</v>
      </c>
      <c r="G60" s="18">
        <v>844733</v>
      </c>
      <c r="H60" s="18">
        <v>890133</v>
      </c>
      <c r="I60" s="9"/>
      <c r="J60" s="9"/>
      <c r="K60" s="9"/>
    </row>
    <row r="61" spans="1:11" ht="47.25" x14ac:dyDescent="0.3">
      <c r="A61" s="51" t="s">
        <v>275</v>
      </c>
      <c r="B61" s="20" t="s">
        <v>4</v>
      </c>
      <c r="C61" s="20" t="s">
        <v>57</v>
      </c>
      <c r="D61" s="20" t="s">
        <v>38</v>
      </c>
      <c r="E61" s="20" t="s">
        <v>31</v>
      </c>
      <c r="F61" s="18">
        <v>6423698.7000000002</v>
      </c>
      <c r="G61" s="18">
        <v>6423698.7000000002</v>
      </c>
      <c r="H61" s="18">
        <v>6423698.7000000002</v>
      </c>
      <c r="I61" s="9"/>
      <c r="J61" s="9"/>
      <c r="K61" s="9"/>
    </row>
    <row r="62" spans="1:11" ht="47.25" x14ac:dyDescent="0.3">
      <c r="A62" s="51" t="s">
        <v>213</v>
      </c>
      <c r="B62" s="20" t="s">
        <v>4</v>
      </c>
      <c r="C62" s="20" t="s">
        <v>277</v>
      </c>
      <c r="D62" s="20" t="s">
        <v>58</v>
      </c>
      <c r="E62" s="20" t="s">
        <v>31</v>
      </c>
      <c r="F62" s="18">
        <v>813467.46</v>
      </c>
      <c r="G62" s="18">
        <v>813467.46</v>
      </c>
      <c r="H62" s="18">
        <v>813467.46</v>
      </c>
      <c r="I62" s="9"/>
      <c r="J62" s="9"/>
      <c r="K62" s="9"/>
    </row>
    <row r="63" spans="1:11" ht="31.5" x14ac:dyDescent="0.25">
      <c r="A63" s="35" t="s">
        <v>59</v>
      </c>
      <c r="B63" s="25" t="s">
        <v>60</v>
      </c>
      <c r="C63" s="25"/>
      <c r="D63" s="25"/>
      <c r="E63" s="25"/>
      <c r="F63" s="16">
        <f>SUM(F64:F70)</f>
        <v>14766873.68</v>
      </c>
      <c r="G63" s="16">
        <f t="shared" ref="G63:H63" si="7">SUM(G64:G70)</f>
        <v>14224257.68</v>
      </c>
      <c r="H63" s="16">
        <f t="shared" si="7"/>
        <v>14341627.68</v>
      </c>
      <c r="I63" s="10"/>
      <c r="J63" s="10"/>
      <c r="K63" s="10"/>
    </row>
    <row r="64" spans="1:11" ht="31.5" x14ac:dyDescent="0.25">
      <c r="A64" s="37" t="s">
        <v>68</v>
      </c>
      <c r="B64" s="20" t="s">
        <v>60</v>
      </c>
      <c r="C64" s="20" t="s">
        <v>62</v>
      </c>
      <c r="D64" s="20" t="s">
        <v>69</v>
      </c>
      <c r="E64" s="20" t="s">
        <v>10</v>
      </c>
      <c r="F64" s="18">
        <v>1017000</v>
      </c>
      <c r="G64" s="18">
        <v>1118700</v>
      </c>
      <c r="H64" s="18">
        <v>1230570</v>
      </c>
    </row>
    <row r="65" spans="1:8" ht="31.5" x14ac:dyDescent="0.25">
      <c r="A65" s="37" t="s">
        <v>70</v>
      </c>
      <c r="B65" s="20" t="s">
        <v>60</v>
      </c>
      <c r="C65" s="59" t="s">
        <v>62</v>
      </c>
      <c r="D65" s="20" t="s">
        <v>71</v>
      </c>
      <c r="E65" s="20" t="s">
        <v>10</v>
      </c>
      <c r="F65" s="18">
        <v>50000</v>
      </c>
      <c r="G65" s="18">
        <v>55000</v>
      </c>
      <c r="H65" s="18">
        <v>60500</v>
      </c>
    </row>
    <row r="66" spans="1:8" ht="63" x14ac:dyDescent="0.25">
      <c r="A66" s="55" t="s">
        <v>61</v>
      </c>
      <c r="B66" s="19" t="s">
        <v>60</v>
      </c>
      <c r="C66" s="56" t="s">
        <v>62</v>
      </c>
      <c r="D66" s="56" t="s">
        <v>63</v>
      </c>
      <c r="E66" s="56" t="s">
        <v>8</v>
      </c>
      <c r="F66" s="57">
        <v>12624043</v>
      </c>
      <c r="G66" s="57">
        <v>12624043</v>
      </c>
      <c r="H66" s="57">
        <v>12624043</v>
      </c>
    </row>
    <row r="67" spans="1:8" ht="31.5" x14ac:dyDescent="0.25">
      <c r="A67" s="58" t="s">
        <v>64</v>
      </c>
      <c r="B67" s="19" t="s">
        <v>60</v>
      </c>
      <c r="C67" s="56" t="s">
        <v>62</v>
      </c>
      <c r="D67" s="56" t="s">
        <v>63</v>
      </c>
      <c r="E67" s="56" t="s">
        <v>10</v>
      </c>
      <c r="F67" s="18">
        <v>351514.68</v>
      </c>
      <c r="G67" s="18">
        <v>351514.68</v>
      </c>
      <c r="H67" s="18">
        <v>351514.68</v>
      </c>
    </row>
    <row r="68" spans="1:8" ht="31.5" x14ac:dyDescent="0.25">
      <c r="A68" s="44" t="s">
        <v>65</v>
      </c>
      <c r="B68" s="23" t="s">
        <v>60</v>
      </c>
      <c r="C68" s="59" t="s">
        <v>62</v>
      </c>
      <c r="D68" s="56" t="s">
        <v>63</v>
      </c>
      <c r="E68" s="23" t="s">
        <v>12</v>
      </c>
      <c r="F68" s="24">
        <v>1000</v>
      </c>
      <c r="G68" s="24">
        <v>1000</v>
      </c>
      <c r="H68" s="24">
        <v>1000</v>
      </c>
    </row>
    <row r="69" spans="1:8" ht="94.5" x14ac:dyDescent="0.25">
      <c r="A69" s="44" t="s">
        <v>66</v>
      </c>
      <c r="B69" s="23" t="s">
        <v>60</v>
      </c>
      <c r="C69" s="59" t="s">
        <v>62</v>
      </c>
      <c r="D69" s="56" t="s">
        <v>67</v>
      </c>
      <c r="E69" s="23" t="s">
        <v>8</v>
      </c>
      <c r="F69" s="24">
        <v>649316</v>
      </c>
      <c r="G69" s="24">
        <v>0</v>
      </c>
      <c r="H69" s="24">
        <v>0</v>
      </c>
    </row>
    <row r="70" spans="1:8" ht="47.25" x14ac:dyDescent="0.25">
      <c r="A70" s="37" t="s">
        <v>72</v>
      </c>
      <c r="B70" s="20" t="s">
        <v>60</v>
      </c>
      <c r="C70" s="59" t="s">
        <v>73</v>
      </c>
      <c r="D70" s="20" t="s">
        <v>74</v>
      </c>
      <c r="E70" s="20" t="s">
        <v>10</v>
      </c>
      <c r="F70" s="18">
        <v>74000</v>
      </c>
      <c r="G70" s="18">
        <v>74000</v>
      </c>
      <c r="H70" s="18">
        <v>74000</v>
      </c>
    </row>
    <row r="71" spans="1:8" ht="15.75" x14ac:dyDescent="0.25">
      <c r="A71" s="35" t="s">
        <v>75</v>
      </c>
      <c r="B71" s="15" t="s">
        <v>76</v>
      </c>
      <c r="C71" s="15"/>
      <c r="D71" s="15"/>
      <c r="E71" s="15"/>
      <c r="F71" s="16">
        <f>SUM(F72:F74)</f>
        <v>1328896.97</v>
      </c>
      <c r="G71" s="16">
        <f>SUM(G72:G74)</f>
        <v>1235158.19</v>
      </c>
      <c r="H71" s="16">
        <f>SUM(H72:H74)</f>
        <v>1235158.19</v>
      </c>
    </row>
    <row r="72" spans="1:8" ht="94.5" x14ac:dyDescent="0.25">
      <c r="A72" s="44" t="s">
        <v>77</v>
      </c>
      <c r="B72" s="23" t="s">
        <v>76</v>
      </c>
      <c r="C72" s="23" t="s">
        <v>78</v>
      </c>
      <c r="D72" s="60" t="s">
        <v>79</v>
      </c>
      <c r="E72" s="23" t="s">
        <v>8</v>
      </c>
      <c r="F72" s="24">
        <v>93738.78</v>
      </c>
      <c r="G72" s="24">
        <v>0</v>
      </c>
      <c r="H72" s="24">
        <v>0</v>
      </c>
    </row>
    <row r="73" spans="1:8" ht="78.75" x14ac:dyDescent="0.25">
      <c r="A73" s="37" t="s">
        <v>80</v>
      </c>
      <c r="B73" s="20" t="s">
        <v>76</v>
      </c>
      <c r="C73" s="20" t="s">
        <v>78</v>
      </c>
      <c r="D73" s="61" t="s">
        <v>81</v>
      </c>
      <c r="E73" s="20" t="s">
        <v>8</v>
      </c>
      <c r="F73" s="18">
        <v>1007158.19</v>
      </c>
      <c r="G73" s="18">
        <v>1007158.19</v>
      </c>
      <c r="H73" s="18">
        <v>1007158.19</v>
      </c>
    </row>
    <row r="74" spans="1:8" ht="78.75" x14ac:dyDescent="0.25">
      <c r="A74" s="44" t="s">
        <v>82</v>
      </c>
      <c r="B74" s="23" t="s">
        <v>76</v>
      </c>
      <c r="C74" s="23" t="s">
        <v>78</v>
      </c>
      <c r="D74" s="60" t="s">
        <v>83</v>
      </c>
      <c r="E74" s="23" t="s">
        <v>8</v>
      </c>
      <c r="F74" s="24">
        <v>228000</v>
      </c>
      <c r="G74" s="24">
        <v>228000</v>
      </c>
      <c r="H74" s="24">
        <v>228000</v>
      </c>
    </row>
    <row r="75" spans="1:8" ht="15.75" x14ac:dyDescent="0.25">
      <c r="A75" s="45" t="s">
        <v>84</v>
      </c>
      <c r="B75" s="26" t="s">
        <v>85</v>
      </c>
      <c r="C75" s="26"/>
      <c r="D75" s="26"/>
      <c r="E75" s="26"/>
      <c r="F75" s="27">
        <f>SUM(F76:F148)</f>
        <v>90446326.120000005</v>
      </c>
      <c r="G75" s="27">
        <f>SUM(G76:G148)</f>
        <v>75494392.809999987</v>
      </c>
      <c r="H75" s="27">
        <f>SUM(H76:H148)</f>
        <v>76720432.299999982</v>
      </c>
    </row>
    <row r="76" spans="1:8" ht="78.75" x14ac:dyDescent="0.25">
      <c r="A76" s="37" t="s">
        <v>86</v>
      </c>
      <c r="B76" s="20" t="s">
        <v>85</v>
      </c>
      <c r="C76" s="20" t="s">
        <v>87</v>
      </c>
      <c r="D76" s="61" t="s">
        <v>88</v>
      </c>
      <c r="E76" s="20" t="s">
        <v>8</v>
      </c>
      <c r="F76" s="18">
        <v>1974483</v>
      </c>
      <c r="G76" s="18">
        <v>1974483</v>
      </c>
      <c r="H76" s="18">
        <v>1974483</v>
      </c>
    </row>
    <row r="77" spans="1:8" ht="63" x14ac:dyDescent="0.25">
      <c r="A77" s="36" t="s">
        <v>61</v>
      </c>
      <c r="B77" s="19" t="s">
        <v>85</v>
      </c>
      <c r="C77" s="19" t="s">
        <v>89</v>
      </c>
      <c r="D77" s="19" t="s">
        <v>63</v>
      </c>
      <c r="E77" s="19" t="s">
        <v>8</v>
      </c>
      <c r="F77" s="29">
        <v>36730816.299999997</v>
      </c>
      <c r="G77" s="29">
        <v>36730816.299999997</v>
      </c>
      <c r="H77" s="29">
        <v>36730816.299999997</v>
      </c>
    </row>
    <row r="78" spans="1:8" ht="31.5" x14ac:dyDescent="0.25">
      <c r="A78" s="37" t="s">
        <v>64</v>
      </c>
      <c r="B78" s="20" t="s">
        <v>85</v>
      </c>
      <c r="C78" s="20" t="s">
        <v>89</v>
      </c>
      <c r="D78" s="19" t="s">
        <v>63</v>
      </c>
      <c r="E78" s="20" t="s">
        <v>10</v>
      </c>
      <c r="F78" s="18">
        <f>216000+70000</f>
        <v>286000</v>
      </c>
      <c r="G78" s="18">
        <v>216000</v>
      </c>
      <c r="H78" s="18">
        <v>216000</v>
      </c>
    </row>
    <row r="79" spans="1:8" ht="31.5" x14ac:dyDescent="0.25">
      <c r="A79" s="37" t="s">
        <v>65</v>
      </c>
      <c r="B79" s="20" t="s">
        <v>85</v>
      </c>
      <c r="C79" s="20" t="s">
        <v>89</v>
      </c>
      <c r="D79" s="19" t="s">
        <v>63</v>
      </c>
      <c r="E79" s="20" t="s">
        <v>12</v>
      </c>
      <c r="F79" s="18">
        <v>16000</v>
      </c>
      <c r="G79" s="18">
        <v>16000</v>
      </c>
      <c r="H79" s="18">
        <v>16000</v>
      </c>
    </row>
    <row r="80" spans="1:8" ht="94.5" x14ac:dyDescent="0.25">
      <c r="A80" s="37" t="s">
        <v>66</v>
      </c>
      <c r="B80" s="20" t="s">
        <v>85</v>
      </c>
      <c r="C80" s="20" t="s">
        <v>89</v>
      </c>
      <c r="D80" s="19" t="s">
        <v>67</v>
      </c>
      <c r="E80" s="20" t="s">
        <v>8</v>
      </c>
      <c r="F80" s="18">
        <v>75524.98</v>
      </c>
      <c r="G80" s="18">
        <v>0</v>
      </c>
      <c r="H80" s="18">
        <v>0</v>
      </c>
    </row>
    <row r="81" spans="1:9" ht="78.75" x14ac:dyDescent="0.25">
      <c r="A81" s="37" t="s">
        <v>181</v>
      </c>
      <c r="B81" s="20" t="s">
        <v>85</v>
      </c>
      <c r="C81" s="20" t="s">
        <v>89</v>
      </c>
      <c r="D81" s="61" t="s">
        <v>90</v>
      </c>
      <c r="E81" s="20" t="s">
        <v>8</v>
      </c>
      <c r="F81" s="18">
        <v>591309.17000000004</v>
      </c>
      <c r="G81" s="18">
        <v>611569.61</v>
      </c>
      <c r="H81" s="18">
        <v>611569.61</v>
      </c>
    </row>
    <row r="82" spans="1:9" ht="63" x14ac:dyDescent="0.25">
      <c r="A82" s="37" t="s">
        <v>187</v>
      </c>
      <c r="B82" s="20" t="s">
        <v>85</v>
      </c>
      <c r="C82" s="20" t="s">
        <v>91</v>
      </c>
      <c r="D82" s="61" t="s">
        <v>92</v>
      </c>
      <c r="E82" s="20" t="s">
        <v>10</v>
      </c>
      <c r="F82" s="18">
        <v>3284.18</v>
      </c>
      <c r="G82" s="18">
        <v>4319.46</v>
      </c>
      <c r="H82" s="18">
        <v>58638.65</v>
      </c>
    </row>
    <row r="83" spans="1:9" ht="31.5" x14ac:dyDescent="0.25">
      <c r="A83" s="37" t="s">
        <v>93</v>
      </c>
      <c r="B83" s="20" t="s">
        <v>85</v>
      </c>
      <c r="C83" s="20" t="s">
        <v>94</v>
      </c>
      <c r="D83" s="54" t="s">
        <v>95</v>
      </c>
      <c r="E83" s="20" t="s">
        <v>12</v>
      </c>
      <c r="F83" s="18">
        <v>500000</v>
      </c>
      <c r="G83" s="18">
        <v>500000</v>
      </c>
      <c r="H83" s="18">
        <v>500000</v>
      </c>
    </row>
    <row r="84" spans="1:9" ht="47.25" x14ac:dyDescent="0.25">
      <c r="A84" s="37" t="s">
        <v>96</v>
      </c>
      <c r="B84" s="20" t="s">
        <v>85</v>
      </c>
      <c r="C84" s="20" t="s">
        <v>97</v>
      </c>
      <c r="D84" s="20" t="s">
        <v>98</v>
      </c>
      <c r="E84" s="20" t="s">
        <v>10</v>
      </c>
      <c r="F84" s="18">
        <v>30000</v>
      </c>
      <c r="G84" s="18">
        <v>50000</v>
      </c>
      <c r="H84" s="18">
        <v>50000</v>
      </c>
    </row>
    <row r="85" spans="1:9" ht="31.5" x14ac:dyDescent="0.25">
      <c r="A85" s="37" t="s">
        <v>99</v>
      </c>
      <c r="B85" s="20" t="s">
        <v>85</v>
      </c>
      <c r="C85" s="20" t="s">
        <v>97</v>
      </c>
      <c r="D85" s="20" t="s">
        <v>100</v>
      </c>
      <c r="E85" s="20" t="s">
        <v>10</v>
      </c>
      <c r="F85" s="18">
        <v>306000</v>
      </c>
      <c r="G85" s="18">
        <v>306000</v>
      </c>
      <c r="H85" s="18">
        <v>306000</v>
      </c>
    </row>
    <row r="86" spans="1:9" ht="63" x14ac:dyDescent="0.25">
      <c r="A86" s="37" t="s">
        <v>101</v>
      </c>
      <c r="B86" s="20" t="s">
        <v>85</v>
      </c>
      <c r="C86" s="20" t="s">
        <v>97</v>
      </c>
      <c r="D86" s="20" t="s">
        <v>102</v>
      </c>
      <c r="E86" s="20" t="s">
        <v>10</v>
      </c>
      <c r="F86" s="18">
        <v>70000</v>
      </c>
      <c r="G86" s="18">
        <v>100000</v>
      </c>
      <c r="H86" s="18">
        <v>100000</v>
      </c>
    </row>
    <row r="87" spans="1:9" ht="37.5" customHeight="1" x14ac:dyDescent="0.25">
      <c r="A87" s="39" t="s">
        <v>266</v>
      </c>
      <c r="B87" s="20" t="s">
        <v>85</v>
      </c>
      <c r="C87" s="20" t="s">
        <v>97</v>
      </c>
      <c r="D87" s="20" t="s">
        <v>264</v>
      </c>
      <c r="E87" s="20" t="s">
        <v>10</v>
      </c>
      <c r="F87" s="30">
        <v>200000</v>
      </c>
      <c r="G87" s="30">
        <v>150000</v>
      </c>
      <c r="H87" s="30">
        <v>150000</v>
      </c>
      <c r="I87" s="64"/>
    </row>
    <row r="88" spans="1:9" ht="51" customHeight="1" x14ac:dyDescent="0.25">
      <c r="A88" s="39" t="s">
        <v>267</v>
      </c>
      <c r="B88" s="20" t="s">
        <v>85</v>
      </c>
      <c r="C88" s="20" t="s">
        <v>97</v>
      </c>
      <c r="D88" s="20" t="s">
        <v>263</v>
      </c>
      <c r="E88" s="20" t="s">
        <v>10</v>
      </c>
      <c r="F88" s="30">
        <v>230000</v>
      </c>
      <c r="G88" s="30">
        <v>230000</v>
      </c>
      <c r="H88" s="30">
        <v>230000</v>
      </c>
      <c r="I88" s="64"/>
    </row>
    <row r="89" spans="1:9" ht="47.25" x14ac:dyDescent="0.25">
      <c r="A89" s="39" t="s">
        <v>103</v>
      </c>
      <c r="B89" s="20" t="s">
        <v>85</v>
      </c>
      <c r="C89" s="20" t="s">
        <v>97</v>
      </c>
      <c r="D89" s="20" t="s">
        <v>104</v>
      </c>
      <c r="E89" s="20" t="s">
        <v>10</v>
      </c>
      <c r="F89" s="30">
        <v>200000</v>
      </c>
      <c r="G89" s="30">
        <v>200000</v>
      </c>
      <c r="H89" s="30">
        <v>200000</v>
      </c>
    </row>
    <row r="90" spans="1:9" ht="47.25" x14ac:dyDescent="0.25">
      <c r="A90" s="37" t="s">
        <v>105</v>
      </c>
      <c r="B90" s="20" t="s">
        <v>85</v>
      </c>
      <c r="C90" s="20" t="s">
        <v>97</v>
      </c>
      <c r="D90" s="20" t="s">
        <v>106</v>
      </c>
      <c r="E90" s="20" t="s">
        <v>10</v>
      </c>
      <c r="F90" s="18">
        <v>71280.899999999994</v>
      </c>
      <c r="G90" s="18">
        <v>78410</v>
      </c>
      <c r="H90" s="18">
        <v>86251</v>
      </c>
    </row>
    <row r="91" spans="1:9" ht="31.5" x14ac:dyDescent="0.25">
      <c r="A91" s="36" t="s">
        <v>70</v>
      </c>
      <c r="B91" s="31" t="s">
        <v>85</v>
      </c>
      <c r="C91" s="31" t="s">
        <v>97</v>
      </c>
      <c r="D91" s="32" t="s">
        <v>71</v>
      </c>
      <c r="E91" s="31" t="s">
        <v>10</v>
      </c>
      <c r="F91" s="30">
        <v>155000</v>
      </c>
      <c r="G91" s="30">
        <v>170500</v>
      </c>
      <c r="H91" s="30">
        <v>187550</v>
      </c>
    </row>
    <row r="92" spans="1:9" ht="78.75" x14ac:dyDescent="0.25">
      <c r="A92" s="36" t="s">
        <v>107</v>
      </c>
      <c r="B92" s="31" t="s">
        <v>85</v>
      </c>
      <c r="C92" s="31" t="s">
        <v>97</v>
      </c>
      <c r="D92" s="32" t="s">
        <v>108</v>
      </c>
      <c r="E92" s="31" t="s">
        <v>10</v>
      </c>
      <c r="F92" s="30">
        <v>5000</v>
      </c>
      <c r="G92" s="30">
        <v>5000</v>
      </c>
      <c r="H92" s="30">
        <v>5000</v>
      </c>
    </row>
    <row r="93" spans="1:9" ht="63" x14ac:dyDescent="0.25">
      <c r="A93" s="36" t="s">
        <v>109</v>
      </c>
      <c r="B93" s="31" t="s">
        <v>85</v>
      </c>
      <c r="C93" s="31" t="s">
        <v>97</v>
      </c>
      <c r="D93" s="32" t="s">
        <v>110</v>
      </c>
      <c r="E93" s="31" t="s">
        <v>47</v>
      </c>
      <c r="F93" s="30">
        <v>800</v>
      </c>
      <c r="G93" s="30">
        <v>800</v>
      </c>
      <c r="H93" s="30">
        <v>800</v>
      </c>
    </row>
    <row r="94" spans="1:9" ht="31.5" x14ac:dyDescent="0.25">
      <c r="A94" s="36" t="s">
        <v>111</v>
      </c>
      <c r="B94" s="31" t="s">
        <v>85</v>
      </c>
      <c r="C94" s="31" t="s">
        <v>97</v>
      </c>
      <c r="D94" s="32" t="s">
        <v>112</v>
      </c>
      <c r="E94" s="31" t="s">
        <v>10</v>
      </c>
      <c r="F94" s="30">
        <v>15000</v>
      </c>
      <c r="G94" s="30">
        <v>15000</v>
      </c>
      <c r="H94" s="30">
        <v>15000</v>
      </c>
    </row>
    <row r="95" spans="1:9" ht="47.25" x14ac:dyDescent="0.25">
      <c r="A95" s="36" t="s">
        <v>191</v>
      </c>
      <c r="B95" s="31" t="s">
        <v>85</v>
      </c>
      <c r="C95" s="31" t="s">
        <v>97</v>
      </c>
      <c r="D95" s="32" t="s">
        <v>113</v>
      </c>
      <c r="E95" s="31" t="s">
        <v>10</v>
      </c>
      <c r="F95" s="30">
        <v>20000</v>
      </c>
      <c r="G95" s="30">
        <v>20000</v>
      </c>
      <c r="H95" s="30">
        <v>20000</v>
      </c>
    </row>
    <row r="96" spans="1:9" ht="31.5" x14ac:dyDescent="0.25">
      <c r="A96" s="36" t="s">
        <v>49</v>
      </c>
      <c r="B96" s="31" t="s">
        <v>85</v>
      </c>
      <c r="C96" s="31" t="s">
        <v>97</v>
      </c>
      <c r="D96" s="32" t="s">
        <v>114</v>
      </c>
      <c r="E96" s="31" t="s">
        <v>47</v>
      </c>
      <c r="F96" s="30">
        <v>40000</v>
      </c>
      <c r="G96" s="30">
        <v>80000</v>
      </c>
      <c r="H96" s="30">
        <v>80000</v>
      </c>
    </row>
    <row r="97" spans="1:11" ht="47.25" x14ac:dyDescent="0.25">
      <c r="A97" s="46" t="s">
        <v>115</v>
      </c>
      <c r="B97" s="20" t="s">
        <v>85</v>
      </c>
      <c r="C97" s="20" t="s">
        <v>97</v>
      </c>
      <c r="D97" s="20" t="s">
        <v>116</v>
      </c>
      <c r="E97" s="20" t="s">
        <v>10</v>
      </c>
      <c r="F97" s="18">
        <v>3000</v>
      </c>
      <c r="G97" s="18">
        <v>3000</v>
      </c>
      <c r="H97" s="18">
        <v>3000</v>
      </c>
    </row>
    <row r="98" spans="1:11" ht="47.25" x14ac:dyDescent="0.25">
      <c r="A98" s="46" t="s">
        <v>222</v>
      </c>
      <c r="B98" s="20" t="s">
        <v>85</v>
      </c>
      <c r="C98" s="20" t="s">
        <v>97</v>
      </c>
      <c r="D98" s="20" t="s">
        <v>195</v>
      </c>
      <c r="E98" s="20" t="s">
        <v>10</v>
      </c>
      <c r="F98" s="18">
        <v>100000</v>
      </c>
      <c r="G98" s="18">
        <v>100000</v>
      </c>
      <c r="H98" s="18">
        <v>100000</v>
      </c>
    </row>
    <row r="99" spans="1:11" ht="50.25" customHeight="1" x14ac:dyDescent="0.25">
      <c r="A99" s="46" t="s">
        <v>223</v>
      </c>
      <c r="B99" s="20" t="s">
        <v>85</v>
      </c>
      <c r="C99" s="20" t="s">
        <v>97</v>
      </c>
      <c r="D99" s="20" t="s">
        <v>220</v>
      </c>
      <c r="E99" s="20" t="s">
        <v>10</v>
      </c>
      <c r="F99" s="18">
        <v>40000</v>
      </c>
      <c r="G99" s="18">
        <v>60000</v>
      </c>
      <c r="H99" s="18">
        <v>60000</v>
      </c>
    </row>
    <row r="100" spans="1:11" ht="47.25" x14ac:dyDescent="0.25">
      <c r="A100" s="46" t="s">
        <v>224</v>
      </c>
      <c r="B100" s="20" t="s">
        <v>85</v>
      </c>
      <c r="C100" s="20" t="s">
        <v>97</v>
      </c>
      <c r="D100" s="20" t="s">
        <v>221</v>
      </c>
      <c r="E100" s="20" t="s">
        <v>10</v>
      </c>
      <c r="F100" s="18">
        <v>100000</v>
      </c>
      <c r="G100" s="18">
        <v>100000</v>
      </c>
      <c r="H100" s="18">
        <v>100000</v>
      </c>
    </row>
    <row r="101" spans="1:11" ht="31.5" x14ac:dyDescent="0.25">
      <c r="A101" s="46" t="s">
        <v>206</v>
      </c>
      <c r="B101" s="20" t="s">
        <v>85</v>
      </c>
      <c r="C101" s="20" t="s">
        <v>97</v>
      </c>
      <c r="D101" s="20" t="s">
        <v>143</v>
      </c>
      <c r="E101" s="20" t="s">
        <v>10</v>
      </c>
      <c r="F101" s="18">
        <f>500000+1</f>
        <v>500001</v>
      </c>
      <c r="G101" s="18">
        <f>5184480-5184480+1</f>
        <v>1</v>
      </c>
      <c r="H101" s="18">
        <f>10491063-10491063</f>
        <v>0</v>
      </c>
      <c r="J101" s="11"/>
      <c r="K101" s="11"/>
    </row>
    <row r="102" spans="1:11" ht="31.5" x14ac:dyDescent="0.25">
      <c r="A102" s="46" t="s">
        <v>238</v>
      </c>
      <c r="B102" s="20" t="s">
        <v>85</v>
      </c>
      <c r="C102" s="20" t="s">
        <v>97</v>
      </c>
      <c r="D102" s="20" t="s">
        <v>239</v>
      </c>
      <c r="E102" s="20" t="s">
        <v>12</v>
      </c>
      <c r="F102" s="18">
        <f>3696521.05-440162.63+185-1</f>
        <v>3256542.42</v>
      </c>
      <c r="G102" s="18">
        <f>5927708.48-5927708.48</f>
        <v>0</v>
      </c>
      <c r="H102" s="18">
        <f>12543931.5-12543931.5</f>
        <v>0</v>
      </c>
      <c r="J102" s="11"/>
      <c r="K102" s="11"/>
    </row>
    <row r="103" spans="1:11" ht="31.5" x14ac:dyDescent="0.25">
      <c r="A103" s="37" t="s">
        <v>177</v>
      </c>
      <c r="B103" s="20" t="s">
        <v>85</v>
      </c>
      <c r="C103" s="20" t="s">
        <v>97</v>
      </c>
      <c r="D103" s="20" t="s">
        <v>117</v>
      </c>
      <c r="E103" s="20" t="s">
        <v>47</v>
      </c>
      <c r="F103" s="18">
        <v>27500</v>
      </c>
      <c r="G103" s="18">
        <v>27500</v>
      </c>
      <c r="H103" s="18">
        <v>27500</v>
      </c>
    </row>
    <row r="104" spans="1:11" ht="47.25" x14ac:dyDescent="0.25">
      <c r="A104" s="37" t="s">
        <v>205</v>
      </c>
      <c r="B104" s="20" t="s">
        <v>85</v>
      </c>
      <c r="C104" s="20" t="s">
        <v>97</v>
      </c>
      <c r="D104" s="20" t="s">
        <v>118</v>
      </c>
      <c r="E104" s="20" t="s">
        <v>10</v>
      </c>
      <c r="F104" s="18">
        <v>10891.5</v>
      </c>
      <c r="G104" s="18">
        <v>10891.5</v>
      </c>
      <c r="H104" s="18">
        <v>10891.5</v>
      </c>
    </row>
    <row r="105" spans="1:11" ht="31.5" x14ac:dyDescent="0.25">
      <c r="A105" s="37" t="s">
        <v>209</v>
      </c>
      <c r="B105" s="20" t="s">
        <v>85</v>
      </c>
      <c r="C105" s="20" t="s">
        <v>97</v>
      </c>
      <c r="D105" s="20" t="s">
        <v>119</v>
      </c>
      <c r="E105" s="20" t="s">
        <v>12</v>
      </c>
      <c r="F105" s="18">
        <f>58345+10937</f>
        <v>69282</v>
      </c>
      <c r="G105" s="18">
        <v>69282</v>
      </c>
      <c r="H105" s="18">
        <v>69282</v>
      </c>
    </row>
    <row r="106" spans="1:11" ht="47.25" x14ac:dyDescent="0.25">
      <c r="A106" s="37" t="s">
        <v>120</v>
      </c>
      <c r="B106" s="20" t="s">
        <v>85</v>
      </c>
      <c r="C106" s="20" t="s">
        <v>121</v>
      </c>
      <c r="D106" s="20" t="s">
        <v>122</v>
      </c>
      <c r="E106" s="20" t="s">
        <v>10</v>
      </c>
      <c r="F106" s="18">
        <f>100000</f>
        <v>100000</v>
      </c>
      <c r="G106" s="18">
        <v>100000</v>
      </c>
      <c r="H106" s="18">
        <v>100000</v>
      </c>
    </row>
    <row r="107" spans="1:11" ht="63" x14ac:dyDescent="0.25">
      <c r="A107" s="37" t="s">
        <v>196</v>
      </c>
      <c r="B107" s="20" t="s">
        <v>85</v>
      </c>
      <c r="C107" s="20" t="s">
        <v>121</v>
      </c>
      <c r="D107" s="20" t="s">
        <v>194</v>
      </c>
      <c r="E107" s="20" t="s">
        <v>10</v>
      </c>
      <c r="F107" s="18">
        <v>12000</v>
      </c>
      <c r="G107" s="18">
        <v>13000</v>
      </c>
      <c r="H107" s="18">
        <v>13000</v>
      </c>
    </row>
    <row r="108" spans="1:11" ht="47.25" x14ac:dyDescent="0.25">
      <c r="A108" s="51" t="s">
        <v>210</v>
      </c>
      <c r="B108" s="20" t="s">
        <v>85</v>
      </c>
      <c r="C108" s="20" t="s">
        <v>123</v>
      </c>
      <c r="D108" s="20" t="s">
        <v>211</v>
      </c>
      <c r="E108" s="20" t="s">
        <v>10</v>
      </c>
      <c r="F108" s="18">
        <f>1250</f>
        <v>1250</v>
      </c>
      <c r="G108" s="18">
        <v>0</v>
      </c>
      <c r="H108" s="18">
        <v>0</v>
      </c>
    </row>
    <row r="109" spans="1:11" ht="63" x14ac:dyDescent="0.25">
      <c r="A109" s="51" t="s">
        <v>124</v>
      </c>
      <c r="B109" s="20" t="s">
        <v>85</v>
      </c>
      <c r="C109" s="20" t="s">
        <v>123</v>
      </c>
      <c r="D109" s="20" t="s">
        <v>125</v>
      </c>
      <c r="E109" s="20" t="s">
        <v>10</v>
      </c>
      <c r="F109" s="18">
        <v>94500</v>
      </c>
      <c r="G109" s="18">
        <v>175404.9</v>
      </c>
      <c r="H109" s="18">
        <v>175404.9</v>
      </c>
      <c r="I109" s="67"/>
    </row>
    <row r="110" spans="1:11" ht="50.25" customHeight="1" x14ac:dyDescent="0.25">
      <c r="A110" s="52" t="s">
        <v>126</v>
      </c>
      <c r="B110" s="32" t="s">
        <v>85</v>
      </c>
      <c r="C110" s="32" t="s">
        <v>123</v>
      </c>
      <c r="D110" s="32" t="s">
        <v>127</v>
      </c>
      <c r="E110" s="32" t="s">
        <v>10</v>
      </c>
      <c r="F110" s="33">
        <f>30000-30000+30000-21600+21600</f>
        <v>30000</v>
      </c>
      <c r="G110" s="49">
        <v>30000</v>
      </c>
      <c r="H110" s="49">
        <v>30000</v>
      </c>
    </row>
    <row r="111" spans="1:11" ht="31.5" x14ac:dyDescent="0.25">
      <c r="A111" s="52" t="s">
        <v>134</v>
      </c>
      <c r="B111" s="32" t="s">
        <v>85</v>
      </c>
      <c r="C111" s="32" t="s">
        <v>123</v>
      </c>
      <c r="D111" s="32" t="s">
        <v>254</v>
      </c>
      <c r="E111" s="32" t="s">
        <v>10</v>
      </c>
      <c r="F111" s="33">
        <v>9770.5300000000007</v>
      </c>
      <c r="G111" s="33">
        <v>0</v>
      </c>
      <c r="H111" s="33">
        <v>0</v>
      </c>
    </row>
    <row r="112" spans="1:11" ht="51" customHeight="1" x14ac:dyDescent="0.25">
      <c r="A112" s="52" t="s">
        <v>252</v>
      </c>
      <c r="B112" s="32" t="s">
        <v>85</v>
      </c>
      <c r="C112" s="32" t="s">
        <v>123</v>
      </c>
      <c r="D112" s="32" t="s">
        <v>253</v>
      </c>
      <c r="E112" s="32" t="s">
        <v>10</v>
      </c>
      <c r="F112" s="33">
        <v>21600</v>
      </c>
      <c r="G112" s="33">
        <v>0</v>
      </c>
      <c r="H112" s="33">
        <v>0</v>
      </c>
    </row>
    <row r="113" spans="1:9" ht="50.25" customHeight="1" x14ac:dyDescent="0.25">
      <c r="A113" s="51" t="s">
        <v>236</v>
      </c>
      <c r="B113" s="20" t="s">
        <v>85</v>
      </c>
      <c r="C113" s="20" t="s">
        <v>123</v>
      </c>
      <c r="D113" s="20" t="s">
        <v>227</v>
      </c>
      <c r="E113" s="20" t="s">
        <v>10</v>
      </c>
      <c r="F113" s="18">
        <v>53266.99</v>
      </c>
      <c r="G113" s="18">
        <v>58449.71</v>
      </c>
      <c r="H113" s="18">
        <v>77174.87</v>
      </c>
      <c r="I113" s="64"/>
    </row>
    <row r="114" spans="1:9" ht="35.25" customHeight="1" x14ac:dyDescent="0.25">
      <c r="A114" s="51" t="s">
        <v>128</v>
      </c>
      <c r="B114" s="32" t="s">
        <v>85</v>
      </c>
      <c r="C114" s="32" t="s">
        <v>129</v>
      </c>
      <c r="D114" s="20" t="s">
        <v>130</v>
      </c>
      <c r="E114" s="32" t="s">
        <v>12</v>
      </c>
      <c r="F114" s="33">
        <f>200000+133709.6+5300</f>
        <v>339009.6</v>
      </c>
      <c r="G114" s="33">
        <v>200000</v>
      </c>
      <c r="H114" s="33">
        <v>200000</v>
      </c>
    </row>
    <row r="115" spans="1:9" ht="36.75" customHeight="1" x14ac:dyDescent="0.25">
      <c r="A115" s="52" t="s">
        <v>192</v>
      </c>
      <c r="B115" s="19" t="s">
        <v>85</v>
      </c>
      <c r="C115" s="19" t="s">
        <v>228</v>
      </c>
      <c r="D115" s="28" t="s">
        <v>197</v>
      </c>
      <c r="E115" s="32" t="s">
        <v>10</v>
      </c>
      <c r="F115" s="33">
        <f>3800000+1321000</f>
        <v>5121000</v>
      </c>
      <c r="G115" s="33">
        <v>4100000</v>
      </c>
      <c r="H115" s="33">
        <v>4500000</v>
      </c>
    </row>
    <row r="116" spans="1:9" ht="161.25" customHeight="1" x14ac:dyDescent="0.25">
      <c r="A116" s="52" t="s">
        <v>137</v>
      </c>
      <c r="B116" s="32" t="s">
        <v>85</v>
      </c>
      <c r="C116" s="32" t="s">
        <v>132</v>
      </c>
      <c r="D116" s="32" t="s">
        <v>138</v>
      </c>
      <c r="E116" s="32" t="s">
        <v>10</v>
      </c>
      <c r="F116" s="33">
        <f>2715515.72-2715515.72</f>
        <v>0</v>
      </c>
      <c r="G116" s="33">
        <f>2715515.72-1</f>
        <v>2715514.72</v>
      </c>
      <c r="H116" s="33">
        <v>2715515.72</v>
      </c>
    </row>
    <row r="117" spans="1:9" ht="147" customHeight="1" x14ac:dyDescent="0.25">
      <c r="A117" s="52" t="s">
        <v>229</v>
      </c>
      <c r="B117" s="32" t="s">
        <v>85</v>
      </c>
      <c r="C117" s="32" t="s">
        <v>132</v>
      </c>
      <c r="D117" s="32" t="s">
        <v>138</v>
      </c>
      <c r="E117" s="32" t="s">
        <v>139</v>
      </c>
      <c r="F117" s="33">
        <f>0+2987067.29+100000</f>
        <v>3087067.29</v>
      </c>
      <c r="G117" s="49">
        <v>0</v>
      </c>
      <c r="H117" s="49">
        <v>0</v>
      </c>
    </row>
    <row r="118" spans="1:9" ht="147" customHeight="1" x14ac:dyDescent="0.25">
      <c r="A118" s="52" t="s">
        <v>140</v>
      </c>
      <c r="B118" s="32" t="s">
        <v>85</v>
      </c>
      <c r="C118" s="32" t="s">
        <v>132</v>
      </c>
      <c r="D118" s="32" t="s">
        <v>141</v>
      </c>
      <c r="E118" s="32" t="s">
        <v>10</v>
      </c>
      <c r="F118" s="33">
        <f>1472278.57-1472278.57</f>
        <v>0</v>
      </c>
      <c r="G118" s="33">
        <v>1472278.57</v>
      </c>
      <c r="H118" s="33">
        <v>1472278.57</v>
      </c>
    </row>
    <row r="119" spans="1:9" ht="146.25" customHeight="1" x14ac:dyDescent="0.25">
      <c r="A119" s="52" t="s">
        <v>230</v>
      </c>
      <c r="B119" s="32" t="s">
        <v>85</v>
      </c>
      <c r="C119" s="32" t="s">
        <v>132</v>
      </c>
      <c r="D119" s="32" t="s">
        <v>141</v>
      </c>
      <c r="E119" s="32" t="s">
        <v>139</v>
      </c>
      <c r="F119" s="33">
        <f>0+1619506.43+200000</f>
        <v>1819506.43</v>
      </c>
      <c r="G119" s="33">
        <v>0</v>
      </c>
      <c r="H119" s="33">
        <v>0</v>
      </c>
    </row>
    <row r="120" spans="1:9" ht="49.5" customHeight="1" x14ac:dyDescent="0.25">
      <c r="A120" s="36" t="s">
        <v>131</v>
      </c>
      <c r="B120" s="32" t="s">
        <v>85</v>
      </c>
      <c r="C120" s="32" t="s">
        <v>132</v>
      </c>
      <c r="D120" s="32" t="s">
        <v>133</v>
      </c>
      <c r="E120" s="32" t="s">
        <v>10</v>
      </c>
      <c r="F120" s="33">
        <v>48000</v>
      </c>
      <c r="G120" s="33">
        <v>0</v>
      </c>
      <c r="H120" s="33">
        <v>0</v>
      </c>
    </row>
    <row r="121" spans="1:9" ht="31.5" x14ac:dyDescent="0.25">
      <c r="A121" s="37" t="s">
        <v>134</v>
      </c>
      <c r="B121" s="32" t="s">
        <v>85</v>
      </c>
      <c r="C121" s="32" t="s">
        <v>132</v>
      </c>
      <c r="D121" s="32" t="s">
        <v>135</v>
      </c>
      <c r="E121" s="32" t="s">
        <v>10</v>
      </c>
      <c r="F121" s="33">
        <f>200276.32+51503.99</f>
        <v>251780.31</v>
      </c>
      <c r="G121" s="33">
        <v>139001.26999999999</v>
      </c>
      <c r="H121" s="33">
        <v>139245.57</v>
      </c>
      <c r="I121" s="64"/>
    </row>
    <row r="122" spans="1:9" ht="36.75" customHeight="1" x14ac:dyDescent="0.25">
      <c r="A122" s="37" t="s">
        <v>258</v>
      </c>
      <c r="B122" s="32" t="s">
        <v>85</v>
      </c>
      <c r="C122" s="32" t="s">
        <v>132</v>
      </c>
      <c r="D122" s="32" t="s">
        <v>257</v>
      </c>
      <c r="E122" s="32" t="s">
        <v>10</v>
      </c>
      <c r="F122" s="33">
        <v>2863320</v>
      </c>
      <c r="G122" s="33">
        <v>0</v>
      </c>
      <c r="H122" s="33">
        <v>0</v>
      </c>
      <c r="I122" s="64"/>
    </row>
    <row r="123" spans="1:9" ht="83.25" customHeight="1" x14ac:dyDescent="0.25">
      <c r="A123" s="51" t="s">
        <v>208</v>
      </c>
      <c r="B123" s="19" t="s">
        <v>85</v>
      </c>
      <c r="C123" s="19" t="s">
        <v>132</v>
      </c>
      <c r="D123" s="28" t="s">
        <v>136</v>
      </c>
      <c r="E123" s="32" t="s">
        <v>10</v>
      </c>
      <c r="F123" s="33">
        <f>6430432.75+361621.25</f>
        <v>6792054</v>
      </c>
      <c r="G123" s="33">
        <f>6430432.75+64953.89</f>
        <v>6495386.6399999997</v>
      </c>
      <c r="H123" s="33">
        <f>6441734.2+65068.02</f>
        <v>6506802.2199999997</v>
      </c>
      <c r="I123" s="67"/>
    </row>
    <row r="124" spans="1:9" ht="50.25" customHeight="1" x14ac:dyDescent="0.25">
      <c r="A124" s="52" t="s">
        <v>245</v>
      </c>
      <c r="B124" s="19" t="s">
        <v>85</v>
      </c>
      <c r="C124" s="19" t="s">
        <v>132</v>
      </c>
      <c r="D124" s="28" t="s">
        <v>244</v>
      </c>
      <c r="E124" s="32" t="s">
        <v>10</v>
      </c>
      <c r="F124" s="33">
        <f>0+2110060.9</f>
        <v>2110060.9</v>
      </c>
      <c r="G124" s="33">
        <v>0</v>
      </c>
      <c r="H124" s="33">
        <v>0</v>
      </c>
    </row>
    <row r="125" spans="1:9" ht="34.5" customHeight="1" x14ac:dyDescent="0.25">
      <c r="A125" s="52" t="s">
        <v>178</v>
      </c>
      <c r="B125" s="32" t="s">
        <v>85</v>
      </c>
      <c r="C125" s="32" t="s">
        <v>142</v>
      </c>
      <c r="D125" s="32" t="s">
        <v>143</v>
      </c>
      <c r="E125" s="32" t="s">
        <v>10</v>
      </c>
      <c r="F125" s="33">
        <f>220000.37-102958.01</f>
        <v>117042.36</v>
      </c>
      <c r="G125" s="33">
        <v>220000.37</v>
      </c>
      <c r="H125" s="33">
        <v>220000.37</v>
      </c>
    </row>
    <row r="126" spans="1:9" ht="129.75" customHeight="1" x14ac:dyDescent="0.25">
      <c r="A126" s="51" t="s">
        <v>144</v>
      </c>
      <c r="B126" s="32" t="s">
        <v>85</v>
      </c>
      <c r="C126" s="32" t="s">
        <v>145</v>
      </c>
      <c r="D126" s="32" t="s">
        <v>146</v>
      </c>
      <c r="E126" s="32" t="s">
        <v>10</v>
      </c>
      <c r="F126" s="33">
        <v>20647.68</v>
      </c>
      <c r="G126" s="33">
        <f>252000-231352.32</f>
        <v>20647.679999999993</v>
      </c>
      <c r="H126" s="33">
        <f>252000-231352.32</f>
        <v>20647.679999999993</v>
      </c>
    </row>
    <row r="127" spans="1:9" ht="47.25" x14ac:dyDescent="0.25">
      <c r="A127" s="51" t="s">
        <v>188</v>
      </c>
      <c r="B127" s="32" t="s">
        <v>85</v>
      </c>
      <c r="C127" s="32" t="s">
        <v>147</v>
      </c>
      <c r="D127" s="32" t="s">
        <v>148</v>
      </c>
      <c r="E127" s="32" t="s">
        <v>10</v>
      </c>
      <c r="F127" s="33">
        <v>200000</v>
      </c>
      <c r="G127" s="33">
        <v>200000</v>
      </c>
      <c r="H127" s="33">
        <v>200000</v>
      </c>
    </row>
    <row r="128" spans="1:9" ht="84" customHeight="1" x14ac:dyDescent="0.25">
      <c r="A128" s="53" t="s">
        <v>149</v>
      </c>
      <c r="B128" s="32" t="s">
        <v>85</v>
      </c>
      <c r="C128" s="32" t="s">
        <v>147</v>
      </c>
      <c r="D128" s="32" t="s">
        <v>150</v>
      </c>
      <c r="E128" s="32" t="s">
        <v>10</v>
      </c>
      <c r="F128" s="33">
        <f>222700-222700</f>
        <v>0</v>
      </c>
      <c r="G128" s="33">
        <v>222700</v>
      </c>
      <c r="H128" s="33">
        <v>222700</v>
      </c>
    </row>
    <row r="129" spans="1:9" ht="85.5" customHeight="1" x14ac:dyDescent="0.25">
      <c r="A129" s="53" t="s">
        <v>231</v>
      </c>
      <c r="B129" s="32" t="s">
        <v>85</v>
      </c>
      <c r="C129" s="32" t="s">
        <v>147</v>
      </c>
      <c r="D129" s="32" t="s">
        <v>150</v>
      </c>
      <c r="E129" s="32" t="s">
        <v>139</v>
      </c>
      <c r="F129" s="33">
        <f>0+244970+44000</f>
        <v>288970</v>
      </c>
      <c r="G129" s="33">
        <v>0</v>
      </c>
      <c r="H129" s="33">
        <v>0</v>
      </c>
    </row>
    <row r="130" spans="1:9" ht="85.5" customHeight="1" x14ac:dyDescent="0.25">
      <c r="A130" s="53" t="s">
        <v>198</v>
      </c>
      <c r="B130" s="32" t="s">
        <v>85</v>
      </c>
      <c r="C130" s="32" t="s">
        <v>147</v>
      </c>
      <c r="D130" s="32" t="s">
        <v>151</v>
      </c>
      <c r="E130" s="32" t="s">
        <v>10</v>
      </c>
      <c r="F130" s="33">
        <f>60000-60000</f>
        <v>0</v>
      </c>
      <c r="G130" s="33">
        <v>60000</v>
      </c>
      <c r="H130" s="33">
        <v>60000</v>
      </c>
    </row>
    <row r="131" spans="1:9" ht="66.75" customHeight="1" x14ac:dyDescent="0.25">
      <c r="A131" s="53" t="s">
        <v>232</v>
      </c>
      <c r="B131" s="32" t="s">
        <v>85</v>
      </c>
      <c r="C131" s="32" t="s">
        <v>147</v>
      </c>
      <c r="D131" s="32" t="s">
        <v>151</v>
      </c>
      <c r="E131" s="32" t="s">
        <v>139</v>
      </c>
      <c r="F131" s="33">
        <f>0+66000</f>
        <v>66000</v>
      </c>
      <c r="G131" s="33">
        <v>0</v>
      </c>
      <c r="H131" s="33">
        <v>0</v>
      </c>
    </row>
    <row r="132" spans="1:9" ht="50.25" customHeight="1" x14ac:dyDescent="0.25">
      <c r="A132" s="53" t="s">
        <v>251</v>
      </c>
      <c r="B132" s="32" t="s">
        <v>85</v>
      </c>
      <c r="C132" s="32" t="s">
        <v>147</v>
      </c>
      <c r="D132" s="32" t="s">
        <v>250</v>
      </c>
      <c r="E132" s="32" t="s">
        <v>10</v>
      </c>
      <c r="F132" s="33">
        <v>200000</v>
      </c>
      <c r="G132" s="33">
        <v>200000</v>
      </c>
      <c r="H132" s="33">
        <v>200000</v>
      </c>
    </row>
    <row r="133" spans="1:9" ht="63" x14ac:dyDescent="0.25">
      <c r="A133" s="36" t="s">
        <v>152</v>
      </c>
      <c r="B133" s="32" t="s">
        <v>85</v>
      </c>
      <c r="C133" s="32" t="s">
        <v>153</v>
      </c>
      <c r="D133" s="32" t="s">
        <v>154</v>
      </c>
      <c r="E133" s="32" t="s">
        <v>12</v>
      </c>
      <c r="F133" s="33">
        <v>102970</v>
      </c>
      <c r="G133" s="33">
        <v>102970</v>
      </c>
      <c r="H133" s="33">
        <v>102970</v>
      </c>
    </row>
    <row r="134" spans="1:9" ht="31.5" x14ac:dyDescent="0.25">
      <c r="A134" s="47" t="s">
        <v>183</v>
      </c>
      <c r="B134" s="32" t="s">
        <v>85</v>
      </c>
      <c r="C134" s="32" t="s">
        <v>153</v>
      </c>
      <c r="D134" s="32" t="s">
        <v>182</v>
      </c>
      <c r="E134" s="32" t="s">
        <v>10</v>
      </c>
      <c r="F134" s="33">
        <v>437925.25</v>
      </c>
      <c r="G134" s="33">
        <v>437925.25</v>
      </c>
      <c r="H134" s="33">
        <v>437925.25</v>
      </c>
    </row>
    <row r="135" spans="1:9" ht="51" customHeight="1" x14ac:dyDescent="0.25">
      <c r="A135" s="47" t="s">
        <v>234</v>
      </c>
      <c r="B135" s="32" t="s">
        <v>85</v>
      </c>
      <c r="C135" s="32" t="s">
        <v>153</v>
      </c>
      <c r="D135" s="32" t="s">
        <v>155</v>
      </c>
      <c r="E135" s="32" t="s">
        <v>10</v>
      </c>
      <c r="F135" s="33">
        <f>170000-170000</f>
        <v>0</v>
      </c>
      <c r="G135" s="33">
        <v>170000</v>
      </c>
      <c r="H135" s="33">
        <v>170000</v>
      </c>
    </row>
    <row r="136" spans="1:9" ht="32.25" customHeight="1" x14ac:dyDescent="0.25">
      <c r="A136" s="47" t="s">
        <v>233</v>
      </c>
      <c r="B136" s="31" t="s">
        <v>85</v>
      </c>
      <c r="C136" s="31" t="s">
        <v>153</v>
      </c>
      <c r="D136" s="31" t="s">
        <v>155</v>
      </c>
      <c r="E136" s="31" t="s">
        <v>139</v>
      </c>
      <c r="F136" s="33">
        <f>0+187000</f>
        <v>187000</v>
      </c>
      <c r="G136" s="30">
        <v>0</v>
      </c>
      <c r="H136" s="30">
        <v>0</v>
      </c>
    </row>
    <row r="137" spans="1:9" ht="23.25" customHeight="1" x14ac:dyDescent="0.25">
      <c r="A137" s="48" t="s">
        <v>156</v>
      </c>
      <c r="B137" s="34" t="s">
        <v>85</v>
      </c>
      <c r="C137" s="34" t="s">
        <v>153</v>
      </c>
      <c r="D137" s="34" t="s">
        <v>157</v>
      </c>
      <c r="E137" s="34" t="s">
        <v>12</v>
      </c>
      <c r="F137" s="62">
        <f>45375-4125</f>
        <v>41250</v>
      </c>
      <c r="G137" s="62">
        <v>41250</v>
      </c>
      <c r="H137" s="62">
        <v>41250</v>
      </c>
    </row>
    <row r="138" spans="1:9" ht="31.5" x14ac:dyDescent="0.25">
      <c r="A138" s="37" t="s">
        <v>189</v>
      </c>
      <c r="B138" s="31" t="s">
        <v>85</v>
      </c>
      <c r="C138" s="31" t="s">
        <v>153</v>
      </c>
      <c r="D138" s="31" t="s">
        <v>190</v>
      </c>
      <c r="E138" s="31" t="s">
        <v>10</v>
      </c>
      <c r="F138" s="30">
        <v>375000</v>
      </c>
      <c r="G138" s="30">
        <v>375000</v>
      </c>
      <c r="H138" s="30">
        <v>375000</v>
      </c>
      <c r="I138" s="7"/>
    </row>
    <row r="139" spans="1:9" ht="34.5" customHeight="1" x14ac:dyDescent="0.25">
      <c r="A139" s="44" t="s">
        <v>158</v>
      </c>
      <c r="B139" s="23" t="s">
        <v>85</v>
      </c>
      <c r="C139" s="23" t="s">
        <v>153</v>
      </c>
      <c r="D139" s="20" t="s">
        <v>159</v>
      </c>
      <c r="E139" s="23" t="s">
        <v>10</v>
      </c>
      <c r="F139" s="24">
        <f>0+1500000</f>
        <v>1500000</v>
      </c>
      <c r="G139" s="24">
        <f>1500000-1500000</f>
        <v>0</v>
      </c>
      <c r="H139" s="24">
        <f>1500000-1500000</f>
        <v>0</v>
      </c>
    </row>
    <row r="140" spans="1:9" ht="47.25" x14ac:dyDescent="0.25">
      <c r="A140" s="37" t="s">
        <v>160</v>
      </c>
      <c r="B140" s="20" t="s">
        <v>85</v>
      </c>
      <c r="C140" s="20" t="s">
        <v>37</v>
      </c>
      <c r="D140" s="20" t="s">
        <v>161</v>
      </c>
      <c r="E140" s="20" t="s">
        <v>31</v>
      </c>
      <c r="F140" s="18">
        <f>6196945.31+2871522.64+3249979.49</f>
        <v>12318447.439999999</v>
      </c>
      <c r="G140" s="18">
        <f>6196945.31+2871522.64</f>
        <v>9068467.9499999993</v>
      </c>
      <c r="H140" s="18">
        <f>6196945.31+2871522.64</f>
        <v>9068467.9499999993</v>
      </c>
    </row>
    <row r="141" spans="1:9" ht="47.25" x14ac:dyDescent="0.25">
      <c r="A141" s="47" t="s">
        <v>72</v>
      </c>
      <c r="B141" s="19" t="s">
        <v>85</v>
      </c>
      <c r="C141" s="19" t="s">
        <v>73</v>
      </c>
      <c r="D141" s="20" t="s">
        <v>74</v>
      </c>
      <c r="E141" s="19" t="s">
        <v>10</v>
      </c>
      <c r="F141" s="29">
        <v>100000</v>
      </c>
      <c r="G141" s="29">
        <v>100000</v>
      </c>
      <c r="H141" s="29">
        <v>100000</v>
      </c>
    </row>
    <row r="142" spans="1:9" ht="31.5" x14ac:dyDescent="0.25">
      <c r="A142" s="46" t="s">
        <v>162</v>
      </c>
      <c r="B142" s="20" t="s">
        <v>85</v>
      </c>
      <c r="C142" s="20" t="s">
        <v>163</v>
      </c>
      <c r="D142" s="20" t="s">
        <v>164</v>
      </c>
      <c r="E142" s="20" t="s">
        <v>47</v>
      </c>
      <c r="F142" s="18">
        <f>2036560.2+101191.98+53159.46</f>
        <v>2190911.64</v>
      </c>
      <c r="G142" s="18">
        <v>2190911.64</v>
      </c>
      <c r="H142" s="18">
        <v>2190911.64</v>
      </c>
    </row>
    <row r="143" spans="1:9" ht="47.25" x14ac:dyDescent="0.25">
      <c r="A143" s="37" t="s">
        <v>207</v>
      </c>
      <c r="B143" s="32" t="s">
        <v>85</v>
      </c>
      <c r="C143" s="32" t="s">
        <v>165</v>
      </c>
      <c r="D143" s="19" t="s">
        <v>166</v>
      </c>
      <c r="E143" s="32" t="s">
        <v>47</v>
      </c>
      <c r="F143" s="33">
        <v>107005.5</v>
      </c>
      <c r="G143" s="33">
        <v>91719</v>
      </c>
      <c r="H143" s="33">
        <v>91719</v>
      </c>
    </row>
    <row r="144" spans="1:9" ht="78.75" x14ac:dyDescent="0.25">
      <c r="A144" s="44" t="s">
        <v>167</v>
      </c>
      <c r="B144" s="34" t="s">
        <v>85</v>
      </c>
      <c r="C144" s="34" t="s">
        <v>165</v>
      </c>
      <c r="D144" s="63" t="s">
        <v>168</v>
      </c>
      <c r="E144" s="34" t="s">
        <v>47</v>
      </c>
      <c r="F144" s="62">
        <v>91719</v>
      </c>
      <c r="G144" s="62">
        <v>36687.599999999999</v>
      </c>
      <c r="H144" s="62">
        <v>36687.599999999999</v>
      </c>
    </row>
    <row r="145" spans="1:9" ht="47.25" x14ac:dyDescent="0.25">
      <c r="A145" s="44" t="s">
        <v>169</v>
      </c>
      <c r="B145" s="23" t="s">
        <v>85</v>
      </c>
      <c r="C145" s="23" t="s">
        <v>165</v>
      </c>
      <c r="D145" s="23" t="s">
        <v>170</v>
      </c>
      <c r="E145" s="23" t="s">
        <v>31</v>
      </c>
      <c r="F145" s="24">
        <v>122500</v>
      </c>
      <c r="G145" s="24">
        <v>122500</v>
      </c>
      <c r="H145" s="24">
        <v>122500</v>
      </c>
    </row>
    <row r="146" spans="1:9" ht="63" x14ac:dyDescent="0.25">
      <c r="A146" s="44" t="s">
        <v>171</v>
      </c>
      <c r="B146" s="23" t="s">
        <v>85</v>
      </c>
      <c r="C146" s="23" t="s">
        <v>55</v>
      </c>
      <c r="D146" s="23" t="s">
        <v>265</v>
      </c>
      <c r="E146" s="23" t="s">
        <v>172</v>
      </c>
      <c r="F146" s="24">
        <v>2797035.75</v>
      </c>
      <c r="G146" s="24">
        <v>3705004.64</v>
      </c>
      <c r="H146" s="24">
        <v>4421448.9000000004</v>
      </c>
      <c r="I146" s="64"/>
    </row>
    <row r="147" spans="1:9" ht="47.25" x14ac:dyDescent="0.25">
      <c r="A147" s="44" t="s">
        <v>173</v>
      </c>
      <c r="B147" s="23" t="s">
        <v>85</v>
      </c>
      <c r="C147" s="23" t="s">
        <v>174</v>
      </c>
      <c r="D147" s="23" t="s">
        <v>175</v>
      </c>
      <c r="E147" s="23" t="s">
        <v>10</v>
      </c>
      <c r="F147" s="24">
        <f>100000</f>
        <v>100000</v>
      </c>
      <c r="G147" s="24">
        <f t="shared" ref="G147:H147" si="8">100000</f>
        <v>100000</v>
      </c>
      <c r="H147" s="24">
        <f t="shared" si="8"/>
        <v>100000</v>
      </c>
    </row>
    <row r="148" spans="1:9" ht="47.25" x14ac:dyDescent="0.25">
      <c r="A148" s="44" t="s">
        <v>219</v>
      </c>
      <c r="B148" s="23" t="s">
        <v>85</v>
      </c>
      <c r="C148" s="23" t="s">
        <v>174</v>
      </c>
      <c r="D148" s="23" t="s">
        <v>218</v>
      </c>
      <c r="E148" s="23" t="s">
        <v>12</v>
      </c>
      <c r="F148" s="24">
        <v>700000</v>
      </c>
      <c r="G148" s="24">
        <v>700000</v>
      </c>
      <c r="H148" s="24">
        <v>700000</v>
      </c>
    </row>
    <row r="149" spans="1:9" ht="15.75" x14ac:dyDescent="0.25">
      <c r="A149" s="8" t="s">
        <v>176</v>
      </c>
      <c r="B149" s="25"/>
      <c r="C149" s="25"/>
      <c r="D149" s="25"/>
      <c r="E149" s="25"/>
      <c r="F149" s="27">
        <f>F5+F63+F71+F75</f>
        <v>551050276.38</v>
      </c>
      <c r="G149" s="27">
        <f>G5+G63+G71+G75</f>
        <v>520578010.80000007</v>
      </c>
      <c r="H149" s="27">
        <f>H5+H63+H71+H75</f>
        <v>562711037.28999996</v>
      </c>
    </row>
  </sheetData>
  <mergeCells count="3">
    <mergeCell ref="F1:H1"/>
    <mergeCell ref="A2:H2"/>
    <mergeCell ref="G3:H3"/>
  </mergeCells>
  <pageMargins left="0.31496062992125984" right="0.31496062992125984" top="0.35433070866141736" bottom="0.35433070866141736"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чтение</vt:lpstr>
      <vt:lpstr>'2 чтение'!Область_печати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Eko</cp:lastModifiedBy>
  <cp:lastPrinted>2023-08-14T06:58:21Z</cp:lastPrinted>
  <dcterms:created xsi:type="dcterms:W3CDTF">2021-01-26T11:28:42Z</dcterms:created>
  <dcterms:modified xsi:type="dcterms:W3CDTF">2023-12-19T11:32:50Z</dcterms:modified>
</cp:coreProperties>
</file>